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er Ederer\Dropbox\A Desktop\GOALSciences\Documentation\Download Supplement Files\"/>
    </mc:Choice>
  </mc:AlternateContent>
  <xr:revisionPtr revIDLastSave="0" documentId="13_ncr:1_{A499C9E8-D6C6-4B8B-8C76-28CC133062B5}" xr6:coauthVersionLast="47" xr6:coauthVersionMax="47" xr10:uidLastSave="{00000000-0000-0000-0000-000000000000}"/>
  <bookViews>
    <workbookView xWindow="2280" yWindow="20" windowWidth="18050" windowHeight="10780" activeTab="2" xr2:uid="{2FD14A7C-ABF5-4F59-AD30-C71AFE9B9D52}"/>
  </bookViews>
  <sheets>
    <sheet name="Home" sheetId="2" r:id="rId1"/>
    <sheet name="Sources" sheetId="3" r:id="rId2"/>
    <sheet name="Feeds Master Table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61" i="5" l="1"/>
  <c r="O561" i="5"/>
  <c r="N561" i="5"/>
  <c r="P560" i="5"/>
  <c r="O560" i="5"/>
  <c r="N560" i="5"/>
  <c r="N563" i="5"/>
  <c r="P563" i="5"/>
  <c r="P472" i="5"/>
  <c r="P469" i="5"/>
  <c r="P457" i="5"/>
  <c r="P450" i="5"/>
  <c r="P451" i="5"/>
  <c r="P449" i="5"/>
  <c r="P447" i="5"/>
  <c r="P441" i="5"/>
  <c r="P434" i="5"/>
  <c r="P433" i="5"/>
  <c r="P418" i="5"/>
  <c r="P414" i="5"/>
  <c r="P394" i="5"/>
  <c r="P389" i="5"/>
  <c r="P406" i="5"/>
  <c r="P402" i="5"/>
  <c r="P400" i="5"/>
  <c r="P380" i="5"/>
  <c r="P375" i="5"/>
  <c r="P373" i="5"/>
  <c r="P349" i="5"/>
  <c r="O349" i="5"/>
  <c r="N349" i="5"/>
  <c r="P353" i="5"/>
  <c r="O353" i="5"/>
  <c r="N353" i="5"/>
  <c r="P334" i="5"/>
  <c r="O334" i="5"/>
  <c r="N334" i="5"/>
  <c r="P339" i="5"/>
  <c r="O339" i="5"/>
  <c r="N339" i="5"/>
  <c r="P335" i="5"/>
  <c r="O335" i="5"/>
  <c r="N335" i="5"/>
  <c r="P322" i="5"/>
  <c r="O322" i="5"/>
  <c r="N322" i="5"/>
  <c r="P326" i="5"/>
  <c r="O326" i="5"/>
  <c r="N326" i="5"/>
  <c r="P56" i="5"/>
  <c r="O56" i="5"/>
  <c r="N56" i="5"/>
  <c r="P60" i="5"/>
  <c r="O60" i="5"/>
  <c r="N60" i="5"/>
  <c r="P95" i="5"/>
  <c r="O95" i="5"/>
  <c r="N95" i="5"/>
  <c r="P68" i="5"/>
  <c r="O68" i="5"/>
  <c r="N68" i="5"/>
  <c r="P24" i="5"/>
  <c r="O24" i="5"/>
  <c r="N24" i="5"/>
  <c r="P28" i="5"/>
  <c r="O28" i="5"/>
  <c r="N28" i="5"/>
  <c r="P12" i="5"/>
  <c r="O12" i="5"/>
  <c r="N12" i="5"/>
  <c r="O99" i="5"/>
  <c r="N99" i="5"/>
  <c r="P99" i="5"/>
  <c r="P72" i="5"/>
  <c r="O72" i="5"/>
  <c r="N72" i="5"/>
  <c r="P16" i="5"/>
  <c r="O16" i="5"/>
  <c r="N16" i="5"/>
  <c r="P289" i="5"/>
  <c r="N289" i="5"/>
  <c r="O289" i="5"/>
  <c r="P288" i="5"/>
  <c r="P280" i="5"/>
  <c r="P265" i="5"/>
  <c r="P270" i="5"/>
  <c r="P268" i="5"/>
  <c r="P261" i="5"/>
  <c r="P252" i="5"/>
  <c r="P250" i="5"/>
  <c r="P249" i="5"/>
  <c r="P245" i="5"/>
  <c r="P198" i="5"/>
  <c r="P196" i="5"/>
  <c r="P194" i="5"/>
  <c r="P188" i="5"/>
  <c r="P186" i="5"/>
  <c r="P185" i="5"/>
  <c r="P154" i="5"/>
  <c r="P141" i="5"/>
  <c r="P139" i="5"/>
  <c r="P137" i="5"/>
  <c r="P111" i="5"/>
  <c r="P107" i="5"/>
  <c r="P48" i="5"/>
  <c r="P41" i="5"/>
  <c r="P105" i="5"/>
  <c r="O105" i="5"/>
  <c r="N105" i="5"/>
  <c r="O250" i="5"/>
  <c r="N250" i="5"/>
  <c r="O563" i="5"/>
  <c r="O469" i="5"/>
  <c r="N469" i="5"/>
  <c r="O472" i="5"/>
  <c r="N472" i="5"/>
  <c r="N433" i="5"/>
  <c r="O434" i="5"/>
  <c r="N434" i="5"/>
  <c r="O441" i="5"/>
  <c r="N441" i="5"/>
  <c r="O457" i="5"/>
  <c r="N457" i="5"/>
  <c r="O447" i="5"/>
  <c r="N447" i="5"/>
  <c r="O449" i="5"/>
  <c r="N449" i="5"/>
  <c r="O450" i="5"/>
  <c r="N450" i="5"/>
  <c r="O451" i="5"/>
  <c r="N451" i="5"/>
  <c r="P412" i="5" l="1"/>
  <c r="O412" i="5"/>
  <c r="N412" i="5"/>
  <c r="N380" i="5"/>
  <c r="N375" i="5"/>
  <c r="N402" i="5"/>
  <c r="N406" i="5"/>
  <c r="P372" i="5"/>
  <c r="P386" i="5"/>
  <c r="O386" i="5"/>
  <c r="N386" i="5"/>
  <c r="O372" i="5"/>
  <c r="N372" i="5"/>
  <c r="P387" i="5"/>
  <c r="O387" i="5"/>
  <c r="N387" i="5"/>
  <c r="O418" i="5"/>
  <c r="N418" i="5"/>
  <c r="O414" i="5"/>
  <c r="N414" i="5"/>
  <c r="O394" i="5"/>
  <c r="N394" i="5"/>
  <c r="O389" i="5"/>
  <c r="N389" i="5"/>
  <c r="O400" i="5"/>
  <c r="N400" i="5"/>
  <c r="O402" i="5"/>
  <c r="O406" i="5"/>
  <c r="O380" i="5"/>
  <c r="O375" i="5"/>
  <c r="O373" i="5"/>
  <c r="N373" i="5"/>
  <c r="O365" i="5"/>
  <c r="N365" i="5"/>
  <c r="O361" i="5"/>
  <c r="N361" i="5"/>
  <c r="O270" i="5"/>
  <c r="N270" i="5"/>
  <c r="O268" i="5"/>
  <c r="N268" i="5"/>
  <c r="O265" i="5"/>
  <c r="N261" i="5"/>
  <c r="N265" i="5"/>
  <c r="O261" i="5"/>
  <c r="O288" i="5"/>
  <c r="N288" i="5"/>
  <c r="O280" i="5"/>
  <c r="N280" i="5"/>
  <c r="O282" i="5"/>
  <c r="N282" i="5"/>
  <c r="O291" i="5"/>
  <c r="N291" i="5"/>
  <c r="O292" i="5"/>
  <c r="N292" i="5"/>
  <c r="O252" i="5"/>
  <c r="N252" i="5"/>
  <c r="O253" i="5"/>
  <c r="N253" i="5"/>
  <c r="O249" i="5" l="1"/>
  <c r="N249" i="5"/>
  <c r="O245" i="5"/>
  <c r="N245" i="5"/>
  <c r="O93" i="5"/>
  <c r="N93" i="5"/>
  <c r="O87" i="5"/>
  <c r="N87" i="5"/>
  <c r="O83" i="5"/>
  <c r="N83" i="5"/>
  <c r="P413" i="5"/>
  <c r="O413" i="5"/>
  <c r="N413" i="5"/>
  <c r="P401" i="5"/>
  <c r="O401" i="5"/>
  <c r="N401" i="5"/>
  <c r="P374" i="5"/>
  <c r="O374" i="5"/>
  <c r="N374" i="5"/>
  <c r="O107" i="5"/>
  <c r="N107" i="5"/>
  <c r="O111" i="5"/>
  <c r="N111" i="5"/>
  <c r="O48" i="5"/>
  <c r="N48" i="5"/>
  <c r="O41" i="5"/>
  <c r="N41" i="5"/>
  <c r="P42" i="5"/>
  <c r="O42" i="5"/>
  <c r="N42" i="5"/>
  <c r="P9" i="5"/>
  <c r="N9" i="5"/>
  <c r="O9" i="5"/>
  <c r="O433" i="5" l="1"/>
  <c r="N194" i="5"/>
  <c r="O194" i="5"/>
  <c r="O198" i="5"/>
  <c r="N198" i="5"/>
  <c r="O196" i="5"/>
  <c r="N196" i="5"/>
  <c r="O154" i="5"/>
  <c r="N154" i="5"/>
  <c r="O137" i="5"/>
  <c r="N137" i="5"/>
  <c r="O188" i="5"/>
  <c r="N188" i="5"/>
  <c r="O139" i="5"/>
  <c r="N139" i="5"/>
  <c r="O141" i="5"/>
  <c r="N141" i="5"/>
  <c r="N186" i="5"/>
  <c r="O186" i="5"/>
  <c r="O185" i="5"/>
  <c r="N185" i="5"/>
  <c r="P166" i="5"/>
  <c r="O166" i="5"/>
  <c r="N166" i="5"/>
  <c r="P130" i="5"/>
  <c r="O130" i="5"/>
  <c r="N130" i="5"/>
</calcChain>
</file>

<file path=xl/sharedStrings.xml><?xml version="1.0" encoding="utf-8"?>
<sst xmlns="http://schemas.openxmlformats.org/spreadsheetml/2006/main" count="2572" uniqueCount="835">
  <si>
    <t>Instructions</t>
  </si>
  <si>
    <t>PLANET Protein and Feed Ingredient Tables</t>
  </si>
  <si>
    <t>Sources</t>
  </si>
  <si>
    <t>Cereals</t>
  </si>
  <si>
    <t>Barley</t>
  </si>
  <si>
    <t>Feed</t>
  </si>
  <si>
    <t>INRAE</t>
  </si>
  <si>
    <t>Food</t>
  </si>
  <si>
    <t>FAOStat</t>
  </si>
  <si>
    <t>Beer</t>
  </si>
  <si>
    <t>Name</t>
  </si>
  <si>
    <t>Barley rootlets</t>
  </si>
  <si>
    <t>Wheat Straw</t>
  </si>
  <si>
    <t>Malt</t>
  </si>
  <si>
    <t>Sankey Navigation</t>
  </si>
  <si>
    <t>Processed for Food (2)</t>
  </si>
  <si>
    <t>Processed for Food (1)</t>
  </si>
  <si>
    <t>Harvest By Product (1)</t>
  </si>
  <si>
    <t>N/A</t>
  </si>
  <si>
    <t>Cereals, Other</t>
  </si>
  <si>
    <t>Used by PLANET</t>
  </si>
  <si>
    <t>Maize</t>
  </si>
  <si>
    <t>Triticale</t>
  </si>
  <si>
    <t>Wheat Bran</t>
  </si>
  <si>
    <t>Feedipedia</t>
  </si>
  <si>
    <t>Maize Stover</t>
  </si>
  <si>
    <t>Processed for Food (3)</t>
  </si>
  <si>
    <t>Industrial</t>
  </si>
  <si>
    <t>Maize DDGS</t>
  </si>
  <si>
    <t>Millet</t>
  </si>
  <si>
    <t xml:space="preserve">Millet  </t>
  </si>
  <si>
    <t>Millet Feed</t>
  </si>
  <si>
    <t>Maize Feed</t>
  </si>
  <si>
    <t>Barley Feed</t>
  </si>
  <si>
    <t>Oats</t>
  </si>
  <si>
    <t>Oats Feed</t>
  </si>
  <si>
    <t>Rice</t>
  </si>
  <si>
    <t>Rice Bran</t>
  </si>
  <si>
    <t>Processed for Food (4)</t>
  </si>
  <si>
    <t>Rice Straw</t>
  </si>
  <si>
    <t>Rye</t>
  </si>
  <si>
    <t>Rye Bran</t>
  </si>
  <si>
    <t xml:space="preserve">Rye  </t>
  </si>
  <si>
    <t>Rye Feed</t>
  </si>
  <si>
    <t>Sorghum</t>
  </si>
  <si>
    <t>Fermented Rice</t>
  </si>
  <si>
    <t>A = raw</t>
  </si>
  <si>
    <t>B = prcoessed</t>
  </si>
  <si>
    <t>C</t>
  </si>
  <si>
    <t>Sorghum Feed</t>
  </si>
  <si>
    <t>Wheat</t>
  </si>
  <si>
    <t>Wheat Feed</t>
  </si>
  <si>
    <t>Fruits</t>
  </si>
  <si>
    <t>Category</t>
  </si>
  <si>
    <t>Crop</t>
  </si>
  <si>
    <t>Type</t>
  </si>
  <si>
    <t>Apple</t>
  </si>
  <si>
    <t>Citrus, Other</t>
  </si>
  <si>
    <t>Dates</t>
  </si>
  <si>
    <t>Grape</t>
  </si>
  <si>
    <t>Grapefruit</t>
  </si>
  <si>
    <t>Grape Feed</t>
  </si>
  <si>
    <t>Pineapples processed</t>
  </si>
  <si>
    <t>Banana</t>
  </si>
  <si>
    <t>Banana Feed</t>
  </si>
  <si>
    <t>Oil Crops</t>
  </si>
  <si>
    <t>Coconut</t>
  </si>
  <si>
    <t>Coconut Feed</t>
  </si>
  <si>
    <t>Groundnuts</t>
  </si>
  <si>
    <t>Oilcrops Other ?</t>
  </si>
  <si>
    <t>RapeSeed Feed</t>
  </si>
  <si>
    <t>Rapeseed whole</t>
  </si>
  <si>
    <t>Sesame Seed</t>
  </si>
  <si>
    <t>Soybean Feed</t>
  </si>
  <si>
    <t>Soybean Straw</t>
  </si>
  <si>
    <t>Soybean whole flaked</t>
  </si>
  <si>
    <t>Sunflower</t>
  </si>
  <si>
    <t>Starchy Roots</t>
  </si>
  <si>
    <t>Potato</t>
  </si>
  <si>
    <t>Potato Peels</t>
  </si>
  <si>
    <t>Cassava leaves and foliage</t>
  </si>
  <si>
    <t>Cassava</t>
  </si>
  <si>
    <t>Cassava Pulp DRIED !</t>
  </si>
  <si>
    <t>Cassava Peels</t>
  </si>
  <si>
    <t>Sweet Potato</t>
  </si>
  <si>
    <t>Yams</t>
  </si>
  <si>
    <t>Yams Peels</t>
  </si>
  <si>
    <t>OtherRoots</t>
  </si>
  <si>
    <t>Sugar Crops</t>
  </si>
  <si>
    <t>Sugar Beet</t>
  </si>
  <si>
    <t>Sugar Cane</t>
  </si>
  <si>
    <t>Vegetables</t>
  </si>
  <si>
    <t>Tomato</t>
  </si>
  <si>
    <t>Tomato Fruits</t>
  </si>
  <si>
    <t>= Barley</t>
  </si>
  <si>
    <t>Glucose</t>
  </si>
  <si>
    <t>Fructose</t>
  </si>
  <si>
    <t>Rice Broken</t>
  </si>
  <si>
    <t>Soybean</t>
  </si>
  <si>
    <t>Soybeans</t>
  </si>
  <si>
    <t>Value Kcal/kg</t>
  </si>
  <si>
    <t>for Protein</t>
  </si>
  <si>
    <t>Sake</t>
  </si>
  <si>
    <t>One kg of soy curd = one kg of Okara</t>
  </si>
  <si>
    <t>Groundnuts with shell</t>
  </si>
  <si>
    <t>Groundnuts shelled</t>
  </si>
  <si>
    <t>Groundnuts Prepared</t>
  </si>
  <si>
    <t>Olives</t>
  </si>
  <si>
    <t>Olives Preserved</t>
  </si>
  <si>
    <t>Oil virgin</t>
  </si>
  <si>
    <t>Oil residue</t>
  </si>
  <si>
    <t>Rapeseed</t>
  </si>
  <si>
    <t>Rapeseed Oil</t>
  </si>
  <si>
    <t>= Almonds</t>
  </si>
  <si>
    <t>Cider</t>
  </si>
  <si>
    <t>Wine</t>
  </si>
  <si>
    <t>Vegetables, Other</t>
  </si>
  <si>
    <t>All roots = 1</t>
  </si>
  <si>
    <t>Beans</t>
  </si>
  <si>
    <t>Peas</t>
  </si>
  <si>
    <t>DIAAS Values</t>
  </si>
  <si>
    <t>Value Fat/kg</t>
  </si>
  <si>
    <t>Transformed Foods</t>
  </si>
  <si>
    <t>Alcoholic Beverages</t>
  </si>
  <si>
    <t>Sweetener Others</t>
  </si>
  <si>
    <t>SUA Food is added to Processed Food</t>
  </si>
  <si>
    <t>Groundnut Stalks</t>
  </si>
  <si>
    <t>Pomace DRIED ! As 80% is moisture, INRAE numbers are divided by 5 for actual weight equivalent</t>
  </si>
  <si>
    <t>Value Protein g/kg mass</t>
  </si>
  <si>
    <t>same as raw food</t>
  </si>
  <si>
    <t xml:space="preserve">Pomace DRIED ! INRAE numbers divided by two for actual weight equivalent </t>
  </si>
  <si>
    <t>50% becomes pulp &gt; distribution same as Wirsenius for sugar beet pulp</t>
  </si>
  <si>
    <t>PDF Science Direct 2014</t>
  </si>
  <si>
    <t>Harvest-By-Product</t>
  </si>
  <si>
    <t>Pineapple Leaves</t>
  </si>
  <si>
    <t>PDF Coconutwasteasbiomass</t>
  </si>
  <si>
    <t>PDF Coconut leaves in India</t>
  </si>
  <si>
    <t>FAOStat definitions, (Feedipedia says meal is 50% of oil, but that is probably from dried flesh)</t>
  </si>
  <si>
    <t>Calculation</t>
  </si>
  <si>
    <t>SUA Food</t>
  </si>
  <si>
    <t>Synthesis 1.2</t>
  </si>
  <si>
    <t>Method</t>
  </si>
  <si>
    <t xml:space="preserve">Source for </t>
  </si>
  <si>
    <t>Diaas value</t>
  </si>
  <si>
    <t>Barley SUA Food</t>
  </si>
  <si>
    <t>Barley and Products FBS Food</t>
  </si>
  <si>
    <t xml:space="preserve">Barley  </t>
  </si>
  <si>
    <t>Industrial &gt; Fuels/Other Uses</t>
  </si>
  <si>
    <t>Proc. for Food &gt; Consumer Goods</t>
  </si>
  <si>
    <t>Barley SUA Crop Other Uses</t>
  </si>
  <si>
    <t>Barley FBS Proc. Other Uses</t>
  </si>
  <si>
    <t>FAOStat SUA</t>
  </si>
  <si>
    <t>FAOStat FBS</t>
  </si>
  <si>
    <t>Processed for Food (1) &gt; Animals</t>
  </si>
  <si>
    <t>Processed for Food (2) &gt; Animals</t>
  </si>
  <si>
    <t>Processed for Food (3) &gt; Animals</t>
  </si>
  <si>
    <t>Feed &gt; Animals</t>
  </si>
  <si>
    <t>Harvest By Product (1) &gt; Animals</t>
  </si>
  <si>
    <t>Crop &gt; Raw Food</t>
  </si>
  <si>
    <t>Proc. for Food &gt; Processed Food</t>
  </si>
  <si>
    <t>Proc. for Food &gt; Transformed Food</t>
  </si>
  <si>
    <t>Beer SUA Food</t>
  </si>
  <si>
    <t>INRAE/Feedipedia/other source</t>
  </si>
  <si>
    <t>Non-Food</t>
  </si>
  <si>
    <t>Harvest By-Product &gt; Bedding/On Field Res. / Fuels &amp; Other Uses</t>
  </si>
  <si>
    <t>Wirsenius</t>
  </si>
  <si>
    <t>Planet Chapter 3</t>
  </si>
  <si>
    <t>Brewers gains</t>
  </si>
  <si>
    <t>Elna</t>
  </si>
  <si>
    <t>Barley SUA Feed</t>
  </si>
  <si>
    <t>Barley Bran SUA Feed</t>
  </si>
  <si>
    <t>Malt &gt; Feed</t>
  </si>
  <si>
    <t>Barley Bran &gt; Feed</t>
  </si>
  <si>
    <t>Straw (Wheat) &gt; Feed</t>
  </si>
  <si>
    <t>Cereals, nes, buckwheat, fonio, triticale, quinoa, grains mixed SUA Food</t>
  </si>
  <si>
    <t>Cereals, Other FBS Food</t>
  </si>
  <si>
    <t>Cereals, Other FBS Proc. Other Uses</t>
  </si>
  <si>
    <t>Cereals, nes, et al SUA Feed</t>
  </si>
  <si>
    <t>Cereals nes et al SUA Crop Other Uses</t>
  </si>
  <si>
    <t>Sweetener</t>
  </si>
  <si>
    <t>Maize Starch SUA Food</t>
  </si>
  <si>
    <t>Maize Germ OIL SUA Food</t>
  </si>
  <si>
    <t>Maize SUA Food</t>
  </si>
  <si>
    <t xml:space="preserve">Source  </t>
  </si>
  <si>
    <t>Flows</t>
  </si>
  <si>
    <t>Nutrition Values</t>
  </si>
  <si>
    <t>INRAE Wheat</t>
  </si>
  <si>
    <t>INRAE Triticale</t>
  </si>
  <si>
    <t>Cereals Other Bran &gt; Feed</t>
  </si>
  <si>
    <t>Cereals Other (Triticale) Feed</t>
  </si>
  <si>
    <t>SUA Feed</t>
  </si>
  <si>
    <t>Maize FBS Proc. Other Uses</t>
  </si>
  <si>
    <t>Maize SUA Crop Other Uses</t>
  </si>
  <si>
    <t>Corn Gluten Feed</t>
  </si>
  <si>
    <t xml:space="preserve">Maize  </t>
  </si>
  <si>
    <t>Maize Gluten &gt; Feed and Meal, Gluten</t>
  </si>
  <si>
    <t>Maize Germ &gt; Feed and Meal, Gluten</t>
  </si>
  <si>
    <t>Maize Bran &gt; Feed and Meal, Gluten</t>
  </si>
  <si>
    <t>Maize Proc. &gt; Feed</t>
  </si>
  <si>
    <t>Planet Chapter 3 (no bedding)</t>
  </si>
  <si>
    <t>Millet SUA Food</t>
  </si>
  <si>
    <t>Millet and Products FBS Food</t>
  </si>
  <si>
    <t>Millet SUA Feed</t>
  </si>
  <si>
    <t>Millet Bran SUA Feed</t>
  </si>
  <si>
    <t>Millet Bran &gt; Feed</t>
  </si>
  <si>
    <t>Maize SUA Feed</t>
  </si>
  <si>
    <t>Oats SUA Food</t>
  </si>
  <si>
    <t>Oats and Products FBS Food</t>
  </si>
  <si>
    <t xml:space="preserve">Oats  </t>
  </si>
  <si>
    <t>Oats Bran SUA Feed</t>
  </si>
  <si>
    <t>Oats Bran &gt; Feed</t>
  </si>
  <si>
    <t>Oats SUA Feed</t>
  </si>
  <si>
    <t>Millet FBS Proc. Other Uses</t>
  </si>
  <si>
    <t>Millet SUA Crop Other Uses</t>
  </si>
  <si>
    <t>Oats FBS Proc. Other Uses</t>
  </si>
  <si>
    <t>Oats SUA Crop Other Uses</t>
  </si>
  <si>
    <t>Rice Paddy SUA Food</t>
  </si>
  <si>
    <t>Rice and Products FBS Food</t>
  </si>
  <si>
    <t>Fermented Rice SUA Food</t>
  </si>
  <si>
    <t>Fermented Rice Brewers Gains</t>
  </si>
  <si>
    <t>Fermented Rice &gt; Feed</t>
  </si>
  <si>
    <t>Rice Husks &gt; Feed</t>
  </si>
  <si>
    <t>Rice Paddy Feed</t>
  </si>
  <si>
    <t>Rice, paddy</t>
  </si>
  <si>
    <t>Rice hulls</t>
  </si>
  <si>
    <t>Rice Straw &gt; Feed</t>
  </si>
  <si>
    <t>Rice Broken &gt; Feed</t>
  </si>
  <si>
    <t>SUA Feed, Synthesis 1.2</t>
  </si>
  <si>
    <t>Rice broken</t>
  </si>
  <si>
    <t>Rice Bran &gt; Feed</t>
  </si>
  <si>
    <t>Rice FBS Proc. Other Uses</t>
  </si>
  <si>
    <t>Rice SUA Crop Other Uses</t>
  </si>
  <si>
    <t>Barley Industrial &gt; Fuels</t>
  </si>
  <si>
    <t>Cereals, Other Industrial &gt; Fuels</t>
  </si>
  <si>
    <t>Maize Industrial &gt; Fuels</t>
  </si>
  <si>
    <t>Millet Industrial &gt; Fuels</t>
  </si>
  <si>
    <t>Rice Industrial &gt; Fuels</t>
  </si>
  <si>
    <t>Rice &gt; Consumer Goods</t>
  </si>
  <si>
    <t>Oats &gt; Consumer Goods</t>
  </si>
  <si>
    <t>Oats Industrial &gt; Fuels</t>
  </si>
  <si>
    <t>Millet &gt; Consumer Goods</t>
  </si>
  <si>
    <t>Maize &gt; Consumer Goods</t>
  </si>
  <si>
    <t>Cereals, Other &gt; Consumer Goods</t>
  </si>
  <si>
    <t>Barley &gt; Consumer Goods</t>
  </si>
  <si>
    <t>Synthesis 1.2 ( in case of rice this includes the transformed products of bran oil, rice starch and rice flour, all of which are small amounts only)</t>
  </si>
  <si>
    <t>Rye SUA Food</t>
  </si>
  <si>
    <t>Rye and Products FBS Food</t>
  </si>
  <si>
    <t>Rye Bran SUA Feed</t>
  </si>
  <si>
    <t>Rye Bran &gt; Feed</t>
  </si>
  <si>
    <t>Rye SUA Feed</t>
  </si>
  <si>
    <t>Rye FBS Proc. Other Uses</t>
  </si>
  <si>
    <t>Rye &gt; Consumer Goods</t>
  </si>
  <si>
    <t>Rye SUA Crop Other Uses</t>
  </si>
  <si>
    <t>Rye Industrial &gt; Fuels</t>
  </si>
  <si>
    <t>Sorghum SUA Food</t>
  </si>
  <si>
    <t>Sorghum SUA Feed</t>
  </si>
  <si>
    <t>Sorghum FBS Proc. Other Uses</t>
  </si>
  <si>
    <t>Sorghum &gt; Consumer Goods</t>
  </si>
  <si>
    <t>Sorghum SUA Crop Other Uses</t>
  </si>
  <si>
    <t>Sorghum Industrial &gt; Fuels</t>
  </si>
  <si>
    <t>= Maize</t>
  </si>
  <si>
    <t>Wheat SUA Food</t>
  </si>
  <si>
    <t>Wheat and Products FBS Food</t>
  </si>
  <si>
    <t>Wheat Bran SUA Feed</t>
  </si>
  <si>
    <t>Wheat Bran &gt; Feed</t>
  </si>
  <si>
    <t>Wheat SUA Feed</t>
  </si>
  <si>
    <t>Wheat FBS Proc. Other Uses</t>
  </si>
  <si>
    <t>Wheat &gt; Consumer Goods</t>
  </si>
  <si>
    <t>Wheat SUA Crop Other Uses</t>
  </si>
  <si>
    <t>Wheat Industrial &gt; Fuels</t>
  </si>
  <si>
    <t>PDF</t>
  </si>
  <si>
    <t>Apples SUA Food</t>
  </si>
  <si>
    <t>Apples and Products FBS Food</t>
  </si>
  <si>
    <t>Apple Pomace &gt; Feed</t>
  </si>
  <si>
    <t>Apple Feed</t>
  </si>
  <si>
    <t>Apples SUA Feed</t>
  </si>
  <si>
    <t>Apples Processed</t>
  </si>
  <si>
    <t>Bananas SUA Food</t>
  </si>
  <si>
    <t>Bananas SUA Feed</t>
  </si>
  <si>
    <t>All fruits</t>
  </si>
  <si>
    <t>Citrus, Other SUA Food</t>
  </si>
  <si>
    <t>Citrus, Other FBS Food</t>
  </si>
  <si>
    <t>Citrus pulp fresh</t>
  </si>
  <si>
    <t>Citrus, Other Processed</t>
  </si>
  <si>
    <t>Citrus, Other Pulp &gt; Feed</t>
  </si>
  <si>
    <t>Dates SUA Food</t>
  </si>
  <si>
    <t>Date</t>
  </si>
  <si>
    <t>Dates FBS Food</t>
  </si>
  <si>
    <t>Dates SUA Feed</t>
  </si>
  <si>
    <t>Date Feed</t>
  </si>
  <si>
    <t>Fruits, Other</t>
  </si>
  <si>
    <t>Fruits, Other Feed</t>
  </si>
  <si>
    <t>Grapefruit SUA Food</t>
  </si>
  <si>
    <t>Grapefruit Processed</t>
  </si>
  <si>
    <t>Grapefruit Pulp &gt; Feed</t>
  </si>
  <si>
    <t>Grapes SUA Food</t>
  </si>
  <si>
    <t>Grapes and Products FBS Food</t>
  </si>
  <si>
    <t>Grapes SUA Feed</t>
  </si>
  <si>
    <t>Grapes Processed</t>
  </si>
  <si>
    <t>Grape Pomace &gt; Feed</t>
  </si>
  <si>
    <t>PDF: Extraction of Bioactive Compounds from Grape Processing By-Products, 2017</t>
  </si>
  <si>
    <t>20% of processed becomes pomace, 10% dried pomace</t>
  </si>
  <si>
    <t>Lemons. Lime Processed</t>
  </si>
  <si>
    <t>Lemon, Lime Pulp &gt; Feed</t>
  </si>
  <si>
    <t>Grapefruit and Products FBS Food</t>
  </si>
  <si>
    <t>Bananas FBS Food</t>
  </si>
  <si>
    <t>Oranges, Mandarines FBS Food</t>
  </si>
  <si>
    <t>Orange, Mandarine</t>
  </si>
  <si>
    <t>Oranges, Mandarines Processed</t>
  </si>
  <si>
    <t>Orange, Mandarine Pulp &gt; Feed</t>
  </si>
  <si>
    <t>Pineapple</t>
  </si>
  <si>
    <t>Orange, mandarine</t>
  </si>
  <si>
    <t>Pineapples SUA Food</t>
  </si>
  <si>
    <t>Pineapples and Products FBS Food</t>
  </si>
  <si>
    <t>Crown, peel, core (Canning By-Product)</t>
  </si>
  <si>
    <t>Plantain</t>
  </si>
  <si>
    <t>Plantains SUA Food</t>
  </si>
  <si>
    <t>Plantains FBS Food</t>
  </si>
  <si>
    <t>Plaintain</t>
  </si>
  <si>
    <t>Plantian</t>
  </si>
  <si>
    <t>Plantain Feed</t>
  </si>
  <si>
    <t>Plantains SUA Feed</t>
  </si>
  <si>
    <t>Banana Leaves/biomass</t>
  </si>
  <si>
    <t>Banana Leaves</t>
  </si>
  <si>
    <t>Acc to Feedipedia: 13 tons/ha/year of biomass forage * 5.1 mio ha as per FAO = 66.300 kt of biomass / 119.000 kt of banana production = 0.5 tons biomass for every ton of banana &gt; distribute 50% feed and 50% consumer goods (Planet estimate)</t>
  </si>
  <si>
    <t>Values from Plantain fresh leave, but here are also shoots, airials and stalks which amount to total biomass</t>
  </si>
  <si>
    <t>Bananas processed</t>
  </si>
  <si>
    <t>Banana peel &gt; Feed</t>
  </si>
  <si>
    <t>Banana peel</t>
  </si>
  <si>
    <t>Acc to Feedipedia: leaves harvest = 20% of the amount of date production fed to ruminants</t>
  </si>
  <si>
    <t>Date leaves</t>
  </si>
  <si>
    <t>Date Leaves</t>
  </si>
  <si>
    <t>Plantain Leaves/biomass</t>
  </si>
  <si>
    <t>Plantain Leaves</t>
  </si>
  <si>
    <t>Acc to Feedipedia: 13 tons/ha/year of biomass forage * 5.1 mio ha as per FAO = 66.300 kt of biomass / 119.000 kt of banana production = 0.5 tons biomass for every ton of banana &gt; same ratios for plantains &gt; distribute 50% feed and 50% consumer goods (Planet estimate)</t>
  </si>
  <si>
    <t>Acc to Feedipedia: 13 tons/ha/year of biomass forage * 5.1 mio ha as per FAO = 66.300 kt of biomass / 119.000 kt of banana production = 0.5 tons biomass for every ton of banana  &gt; same ratios for plantains &gt; distribute 50% feed and 50% consumer goods (Planet estimate)</t>
  </si>
  <si>
    <t>3 x production volume &gt; dry matter is 20%; 10%: feed, 10% bedding, 80% Fuel (Planet estimate)</t>
  </si>
  <si>
    <t>3 x production volume &gt; 10%: feed, 10% bedding, 80% Fuel (Planet estimate)</t>
  </si>
  <si>
    <t>FAOStat SUA Definitions</t>
  </si>
  <si>
    <t>PDF Healthline</t>
  </si>
  <si>
    <t>Coconuts SUA Food</t>
  </si>
  <si>
    <t>Coconuts desiccated SUA Food</t>
  </si>
  <si>
    <t>Coconuts Oil SUA Food</t>
  </si>
  <si>
    <t>Coconuts Water</t>
  </si>
  <si>
    <t>Coconuts SUA Feed</t>
  </si>
  <si>
    <t>Coconuts Processed</t>
  </si>
  <si>
    <t>Coconut Proc. &gt; Feed</t>
  </si>
  <si>
    <t>Husk = Production * 91% &gt; 50% consumer (fiber); 50% industrial (fuel) (Planet estimate)</t>
  </si>
  <si>
    <t>Leaves = Production x 100% &gt; 50% consumer (fiber); 50% industrial (fuel) (Planet estimate)</t>
  </si>
  <si>
    <t>Coconut Other Uses</t>
  </si>
  <si>
    <t>Coconut Oil Other Uses</t>
  </si>
  <si>
    <t>Coconut Crop Other Uses</t>
  </si>
  <si>
    <t>Coconut &gt; Consumer Goods</t>
  </si>
  <si>
    <t>Coconut Industrial &gt; Fuels</t>
  </si>
  <si>
    <t>Coconut Leaves</t>
  </si>
  <si>
    <t xml:space="preserve">Groundnuts Oil </t>
  </si>
  <si>
    <t xml:space="preserve">Groundnut </t>
  </si>
  <si>
    <t>Meal = GN shelled Processed minus GN Prepared minus GN oil</t>
  </si>
  <si>
    <t>Peanut hull</t>
  </si>
  <si>
    <t>Peanuts</t>
  </si>
  <si>
    <t>Groundnuts Processed</t>
  </si>
  <si>
    <t>Groundnuts Proc. &gt; Feed</t>
  </si>
  <si>
    <t>25% becomes pomace &gt; distribution same as Wirsenius for sugar beet pulp &gt; Synthesis 1.2</t>
  </si>
  <si>
    <t>35% of processed is peel; Feedipedia values are for dry product, which is 15% of total, so Feedipedia values are divided by 6.5 &gt; Synthesis 1.2</t>
  </si>
  <si>
    <t>50% becomes pulp &gt; distribution same as Wirsenius for sugar beet pulp &gt; Synthesis 1.2</t>
  </si>
  <si>
    <t>56% of processed is wet by-product; Feedipedia values are for dry product, which is 10% of total, so Feedipedia values are divided by 10 &gt; Synthesis 1.2</t>
  </si>
  <si>
    <t>Plantain peel</t>
  </si>
  <si>
    <t>Plantain processed</t>
  </si>
  <si>
    <t>Plantain peel &gt; Feed</t>
  </si>
  <si>
    <t>Groundnuts Feed</t>
  </si>
  <si>
    <t>Groundnuts with shell SUA Feed</t>
  </si>
  <si>
    <t>Groundnuts shelled SUA Feed</t>
  </si>
  <si>
    <t>Shell = Groundnuts with shell processed minus groundnuts shelled &gt; 10%: feed, 10% bedding, 80% Industrial (Fuel) (Planet estimate)</t>
  </si>
  <si>
    <t>Groundnut &gt; Bedding, Fuels Other Uses</t>
  </si>
  <si>
    <t>Groundnut Oil Other Uses</t>
  </si>
  <si>
    <t>Groundnut Other Uses</t>
  </si>
  <si>
    <t>Groundnut Crop Other Uses</t>
  </si>
  <si>
    <t>Groundnut Industrial &gt; Fuels</t>
  </si>
  <si>
    <t>Olive</t>
  </si>
  <si>
    <t>Palm</t>
  </si>
  <si>
    <t>Olive Oil Other Uses</t>
  </si>
  <si>
    <t>Olive Oil Cake = Olives Processed - Olives Preserved - Oil Virgin - Oil Residue</t>
  </si>
  <si>
    <t>Olive Proc. &gt; Feed</t>
  </si>
  <si>
    <t>Olives Processed</t>
  </si>
  <si>
    <t>Olives Other Uses</t>
  </si>
  <si>
    <t>Olive Crop Other Uses</t>
  </si>
  <si>
    <t>Olive &gt; Consumer Goods</t>
  </si>
  <si>
    <t>Olive Industrial &gt; Fuels</t>
  </si>
  <si>
    <t>Olive Oil Cake with pits &lt; 5% oil</t>
  </si>
  <si>
    <t>Rapeseed Cake = Rapeseeds Processed - Rapeseed Oil</t>
  </si>
  <si>
    <t>Rapeseed meal &lt; 5% oil</t>
  </si>
  <si>
    <t>Rapeseed Processed</t>
  </si>
  <si>
    <t>Rapeseed Proc. &gt; Feed</t>
  </si>
  <si>
    <t>Rapeseed Oil Other Uses</t>
  </si>
  <si>
    <t xml:space="preserve">Rapeseed &gt; Fuels </t>
  </si>
  <si>
    <t>Rapeseed Industrial &gt; Fuels</t>
  </si>
  <si>
    <t>Proc. for Food &gt; Fuels</t>
  </si>
  <si>
    <t>Rapeseed Other Uses</t>
  </si>
  <si>
    <t>Rapeseed Crop Other Uses</t>
  </si>
  <si>
    <t>Sesameseed</t>
  </si>
  <si>
    <t>Sesameseed Oil</t>
  </si>
  <si>
    <t>Sesameseed &gt; Consumer Goods</t>
  </si>
  <si>
    <t>Sesameseed Industrial &gt; Fuels</t>
  </si>
  <si>
    <t>Sesameseed Crop Other Uses</t>
  </si>
  <si>
    <t>Sesameseed Oil Other Uses</t>
  </si>
  <si>
    <t>Sesameseed Other Uses</t>
  </si>
  <si>
    <t>Sesameseed Proc. &gt; Oil Other Uses</t>
  </si>
  <si>
    <t>Rapeseed Proc. &gt; Oil Other Uses</t>
  </si>
  <si>
    <t>Olive Proc. &gt; Oil Other Uses</t>
  </si>
  <si>
    <t>Coconut Proc. &gt; Oil Other Uses</t>
  </si>
  <si>
    <t>Groundnut Proc. &gt; Oil Other Uses</t>
  </si>
  <si>
    <t>Sesameseed Cake = Sesameseed Processed - Sesameeseed Oil</t>
  </si>
  <si>
    <t>Sesameeseed meal &gt; 5% oil</t>
  </si>
  <si>
    <t>Sesameseed Processed</t>
  </si>
  <si>
    <t>Sesameseed Proc. &gt; Feed</t>
  </si>
  <si>
    <t>Sesameseed whole</t>
  </si>
  <si>
    <t>Sesameeed Feed</t>
  </si>
  <si>
    <t>Soyabean Oil</t>
  </si>
  <si>
    <t>Soyabean Curd, paste, sauce</t>
  </si>
  <si>
    <t>pdf okara</t>
  </si>
  <si>
    <t>Tofu</t>
  </si>
  <si>
    <t>Soybeans Processed</t>
  </si>
  <si>
    <t>Soyabean Proc. &gt; Feed</t>
  </si>
  <si>
    <t>Soyabean</t>
  </si>
  <si>
    <t xml:space="preserve">Soybeans  </t>
  </si>
  <si>
    <t>Soybean Oil Other Uses</t>
  </si>
  <si>
    <t>Soyabean Proc. &gt; Oil Other Uses</t>
  </si>
  <si>
    <t>Soyabean &gt; Consumer Goods</t>
  </si>
  <si>
    <t>Soybean Other Uses</t>
  </si>
  <si>
    <t>Soybean Crop Other Uses</t>
  </si>
  <si>
    <t>Soybean Industrial &gt; Fuels</t>
  </si>
  <si>
    <t>Sunflowerseed</t>
  </si>
  <si>
    <t>Sunflower seed Oil</t>
  </si>
  <si>
    <t>Sunflowerseed Cake = Sunflowerseed Processed - Sunflowerseed Oil</t>
  </si>
  <si>
    <t>Sunflower meal, oil &lt; 5%, non dehulled</t>
  </si>
  <si>
    <t>Sunflowerseed Processed</t>
  </si>
  <si>
    <t>Sunflowerseed Proc. &gt; Feed</t>
  </si>
  <si>
    <t>Sunflowerseed whole</t>
  </si>
  <si>
    <t>Sunflowerseed Feed</t>
  </si>
  <si>
    <t>Sunflower Oil Other Uses</t>
  </si>
  <si>
    <t>Sunflowerseed Proc. &gt; Oil Other Uses</t>
  </si>
  <si>
    <t>Sunflowerseed &gt; Consumer Goods</t>
  </si>
  <si>
    <t>Sunflowerseed Crop Other Uses</t>
  </si>
  <si>
    <t>Sunflowerseed Industrial &gt; Fuels</t>
  </si>
  <si>
    <t>Oilcrops Other</t>
  </si>
  <si>
    <t>Oilcrops Other Oil</t>
  </si>
  <si>
    <t>Oilcrops Other Cake = Oilcrops Other Processed - Oilcrops Other Oil</t>
  </si>
  <si>
    <t>INRAE Rapeseed</t>
  </si>
  <si>
    <t>Oilcrops Other Processed</t>
  </si>
  <si>
    <t>Oilcrops Other Proc. &gt; Feed</t>
  </si>
  <si>
    <t>Oilcrops Other SUA Feed</t>
  </si>
  <si>
    <t>Oilcrops Other Feed</t>
  </si>
  <si>
    <t>Oilcrops Oil Other Uses</t>
  </si>
  <si>
    <t>Oilcrops Other Proc. &gt; Oil Other Uses</t>
  </si>
  <si>
    <t>Oilcrops Other &gt; Consumer Goods</t>
  </si>
  <si>
    <t>Oilcrops Other, Other Uses</t>
  </si>
  <si>
    <t>Oilcrops Other Crop Other Uses</t>
  </si>
  <si>
    <t>Oilcrops Other Industrial &gt; Fuels</t>
  </si>
  <si>
    <t>Synthesis 1.2 Three items joined together as Feed and Meal Gluten</t>
  </si>
  <si>
    <t>Coconut &gt; Bedding, Fuel</t>
  </si>
  <si>
    <t>1 kg of curd and paste = 1kg of soybeans; 1 kg of sauce = 0.3 kg of soybeans</t>
  </si>
  <si>
    <t>Soybean Cake = Soybean Processed - soybeans for curd, paste and sauce - Soybean Oil</t>
  </si>
  <si>
    <t>Meal = 50% of oil amount</t>
  </si>
  <si>
    <t>Coconut Coir</t>
  </si>
  <si>
    <t>Potatoes SUA Food</t>
  </si>
  <si>
    <t>Potatoes and Products FBS Food</t>
  </si>
  <si>
    <t>10% of processed</t>
  </si>
  <si>
    <t>Feedipedia (Cassava leaves and foliage)</t>
  </si>
  <si>
    <t>Potato Tops</t>
  </si>
  <si>
    <t>PDF DIAAS value of processed potato</t>
  </si>
  <si>
    <t>Potato SUA Feed</t>
  </si>
  <si>
    <t>Potato Feed</t>
  </si>
  <si>
    <t>Potato Proc &gt; Feed</t>
  </si>
  <si>
    <t>Potatoes Processed</t>
  </si>
  <si>
    <t>Potatoes FBS Proc. Other Uses</t>
  </si>
  <si>
    <t>Potatoes SUA Crop Other Uses</t>
  </si>
  <si>
    <t>Potato &gt; Consumer Goods</t>
  </si>
  <si>
    <t>Potato Industrial &gt; Fuels</t>
  </si>
  <si>
    <t>Harvest By-Product</t>
  </si>
  <si>
    <t>Cassava SUA Food</t>
  </si>
  <si>
    <t>Cassava and Products FBS Food</t>
  </si>
  <si>
    <t>Cassava Tubers FRESH !</t>
  </si>
  <si>
    <t>Cassava Processed</t>
  </si>
  <si>
    <t>Cassava Feed</t>
  </si>
  <si>
    <t>Cassava Proc &gt; Feed</t>
  </si>
  <si>
    <t>Cassava &gt; Consumer Goods</t>
  </si>
  <si>
    <t>Cassava Industrial &gt; Fuels</t>
  </si>
  <si>
    <t>Cassava Tops</t>
  </si>
  <si>
    <t>Cassava FBS Proc. Other Uses</t>
  </si>
  <si>
    <t>Cassava SUA Crop Other Uses</t>
  </si>
  <si>
    <t>Sweet Potato DRIED !</t>
  </si>
  <si>
    <t xml:space="preserve">Feedipedia  </t>
  </si>
  <si>
    <t>Sweet Potatoes Peels</t>
  </si>
  <si>
    <t>Sweet Potato Processed</t>
  </si>
  <si>
    <t>Sweet Potato Proc &gt; Feed</t>
  </si>
  <si>
    <t>Sweet Potato Feed</t>
  </si>
  <si>
    <t>Sweet Potato FBS Proc. Other Uses</t>
  </si>
  <si>
    <t>Sweet Potato &gt; Consumer Goods</t>
  </si>
  <si>
    <t>Sweet Potato SUA Crop Other Uses</t>
  </si>
  <si>
    <t>Sweet Potato Industrial &gt; Fuels</t>
  </si>
  <si>
    <t>Other Roots SUA Feed</t>
  </si>
  <si>
    <t>Other Roots Feed</t>
  </si>
  <si>
    <t>Other Roots SUA Food</t>
  </si>
  <si>
    <t>Other Roots FBS Food</t>
  </si>
  <si>
    <t>Other Roots</t>
  </si>
  <si>
    <t>Yams Processed</t>
  </si>
  <si>
    <t>Yams SUA Feed</t>
  </si>
  <si>
    <t>Yams Proc &gt; Feed</t>
  </si>
  <si>
    <t>Yams Feed</t>
  </si>
  <si>
    <t>Yams FBS Proc. Other Uses</t>
  </si>
  <si>
    <t>Yams SUA Crop Other Uses</t>
  </si>
  <si>
    <t>Yams &gt; Consumer Goods</t>
  </si>
  <si>
    <t>Yams Industrial &gt; Fuels</t>
  </si>
  <si>
    <t>Yams FBS Food</t>
  </si>
  <si>
    <t>Yams SUA Food</t>
  </si>
  <si>
    <t>Sunflower stalk and head</t>
  </si>
  <si>
    <t>Synthesis 1.2 Husks = SUA Rice Paddy Processed - Milled Production - Husked Production - Bran Production</t>
  </si>
  <si>
    <t>Maize Flour SUA Food</t>
  </si>
  <si>
    <t>Wirsenius ratios for pulp portion</t>
  </si>
  <si>
    <t>Wirsenius ratios for molasse portion</t>
  </si>
  <si>
    <t>Molasses Beet</t>
  </si>
  <si>
    <t>Sugar Beet Proc  &gt; Feed</t>
  </si>
  <si>
    <t>Sugar Beet Feed</t>
  </si>
  <si>
    <t>Sugar Beet Tops</t>
  </si>
  <si>
    <t>Sugar Beet Processed</t>
  </si>
  <si>
    <t>Sugasr Beet SUA Feed</t>
  </si>
  <si>
    <t>Beet Pulp</t>
  </si>
  <si>
    <t>Sugar Beet Roots</t>
  </si>
  <si>
    <t>Industrial &gt; Fuel &gt; Animals</t>
  </si>
  <si>
    <t>Sugar Beet Industrial &gt; Feed</t>
  </si>
  <si>
    <t>Using Sugar Raw Equivalent to calculate yield extraction ratio for beet countries and for cane countries</t>
  </si>
  <si>
    <t>FAOStat SUA Other Uses</t>
  </si>
  <si>
    <t>SUA Other Uses</t>
  </si>
  <si>
    <t>FBS Sugar Raw Equivalent Other Uses</t>
  </si>
  <si>
    <t>Sugar Raw Eqiuvalent</t>
  </si>
  <si>
    <t>Sugar Beet &gt; Consumer Goods</t>
  </si>
  <si>
    <t>Sugar Beet Industrial &gt; Fuels</t>
  </si>
  <si>
    <t>Elna DDGS</t>
  </si>
  <si>
    <t>Sugar Beet SUA Food</t>
  </si>
  <si>
    <t>Sugar Raw Equivalent FBS</t>
  </si>
  <si>
    <t>Sugar Cane SUA Food</t>
  </si>
  <si>
    <t>Sugar Cane Bagasse</t>
  </si>
  <si>
    <t>Molasses Cane</t>
  </si>
  <si>
    <t>Wirsenius ratios for bagasse portion, adjusted for NCS countries such as Myanmar</t>
  </si>
  <si>
    <t>Sugar Cane Processed</t>
  </si>
  <si>
    <t>Sugar Cane Proc  &gt; Feed</t>
  </si>
  <si>
    <t>Sugasr Cane SUA Feed</t>
  </si>
  <si>
    <t>Sugar Cane Tops</t>
  </si>
  <si>
    <t>Sugar Cane Feed</t>
  </si>
  <si>
    <t>Sugar Tops</t>
  </si>
  <si>
    <t>Sugar Cane Industrial &gt; Feed</t>
  </si>
  <si>
    <t>Sugar Cane &gt; Consumer Goods</t>
  </si>
  <si>
    <t>Sugar Cane Industrial &gt; Fuels</t>
  </si>
  <si>
    <t>FBS processing / Not yet assigned</t>
  </si>
  <si>
    <t>Tomatoes SUA Food</t>
  </si>
  <si>
    <t>Tomatoes and Products FBS Food</t>
  </si>
  <si>
    <t>Tomato leaves and crop residue</t>
  </si>
  <si>
    <t>Tomatoes SUA Feed</t>
  </si>
  <si>
    <t>Tomato Proc &gt; Feed</t>
  </si>
  <si>
    <t>Tomato Feed</t>
  </si>
  <si>
    <t>Vegetables, Other Feed</t>
  </si>
  <si>
    <t>Vegetables, Other SUA Feed</t>
  </si>
  <si>
    <t>Cabbages and brassica</t>
  </si>
  <si>
    <t>Artichokes</t>
  </si>
  <si>
    <t>Asparagus</t>
  </si>
  <si>
    <t>Spinach</t>
  </si>
  <si>
    <t>Cassava Leaves</t>
  </si>
  <si>
    <t>Cauliflowers and broccoli</t>
  </si>
  <si>
    <t>Pumpkins, squash, gourds</t>
  </si>
  <si>
    <t>Cucumbers, gherkins</t>
  </si>
  <si>
    <t>Aubergines</t>
  </si>
  <si>
    <t>Chillies, peppers</t>
  </si>
  <si>
    <t>Onion, shallots green</t>
  </si>
  <si>
    <t>Garlic</t>
  </si>
  <si>
    <t>Leeks</t>
  </si>
  <si>
    <t>Beans, green</t>
  </si>
  <si>
    <t>Peas, green</t>
  </si>
  <si>
    <t>Vegetables nes</t>
  </si>
  <si>
    <t>String beans</t>
  </si>
  <si>
    <t>Okra</t>
  </si>
  <si>
    <t>Maize green</t>
  </si>
  <si>
    <t>Mushrooms and truffles</t>
  </si>
  <si>
    <t>Chicory roots</t>
  </si>
  <si>
    <t>Carobs</t>
  </si>
  <si>
    <t>Watermelons</t>
  </si>
  <si>
    <t>Melons, other</t>
  </si>
  <si>
    <t>Carrots and turnips</t>
  </si>
  <si>
    <t>Onions dry</t>
  </si>
  <si>
    <t>Beans, dry</t>
  </si>
  <si>
    <t>Peas, dry</t>
  </si>
  <si>
    <t>Pears</t>
  </si>
  <si>
    <t>Quinces</t>
  </si>
  <si>
    <t>Cherries, sour</t>
  </si>
  <si>
    <t xml:space="preserve">Cherries  </t>
  </si>
  <si>
    <t>Peaches, nectarines</t>
  </si>
  <si>
    <t>Plums, sloes</t>
  </si>
  <si>
    <t>Fruit, stone nes</t>
  </si>
  <si>
    <t>Fruit, pome, nes</t>
  </si>
  <si>
    <t>Strawberries</t>
  </si>
  <si>
    <t>Raspberries</t>
  </si>
  <si>
    <t>Gooseberries</t>
  </si>
  <si>
    <t>Currants</t>
  </si>
  <si>
    <t>Blueberries</t>
  </si>
  <si>
    <t>Cranberries</t>
  </si>
  <si>
    <t>Berries, nes</t>
  </si>
  <si>
    <t>Figs</t>
  </si>
  <si>
    <t>Mangoes, mangosteens, guavas</t>
  </si>
  <si>
    <t>Avocados</t>
  </si>
  <si>
    <t>Persimmons</t>
  </si>
  <si>
    <t>Cashewapple</t>
  </si>
  <si>
    <t>Kiwi</t>
  </si>
  <si>
    <t>Papaya</t>
  </si>
  <si>
    <t>Fruit, tropical nes</t>
  </si>
  <si>
    <t>&gt; Pome Fruit</t>
  </si>
  <si>
    <t>&gt; Stone Fruit</t>
  </si>
  <si>
    <t>&gt; Berries</t>
  </si>
  <si>
    <t>&gt; Melons</t>
  </si>
  <si>
    <t>&gt; Tropical</t>
  </si>
  <si>
    <t>SUA Processed</t>
  </si>
  <si>
    <t>assume the same as SUA Food</t>
  </si>
  <si>
    <t>Proc. For food &gt; Consumer</t>
  </si>
  <si>
    <t>Fruit &gt; Consumer Goods</t>
  </si>
  <si>
    <t>Fruits, Other SUA Food</t>
  </si>
  <si>
    <t>Apricots</t>
  </si>
  <si>
    <t>Lemon, Lime, Other</t>
  </si>
  <si>
    <t>Lemons, Limes and Products + Citrus Other FBS Food</t>
  </si>
  <si>
    <t>Lemons, Limes + Citrus nes SUA Food</t>
  </si>
  <si>
    <t>Fruits, Other &gt;</t>
  </si>
  <si>
    <t>Lettuce and chicory</t>
  </si>
  <si>
    <t>Corn and Other &gt;</t>
  </si>
  <si>
    <t>Cabbages, Carrots &gt;</t>
  </si>
  <si>
    <t>Pumpkin, Lettuce &gt;</t>
  </si>
  <si>
    <t>SUA Food (deduct from processed)</t>
  </si>
  <si>
    <t>SUA Food (less preserved)</t>
  </si>
  <si>
    <t>SUA Food (less shelled groundnuts)</t>
  </si>
  <si>
    <t>SUA Food (reduce processing)</t>
  </si>
  <si>
    <t>Vegetables, Other SUA Food</t>
  </si>
  <si>
    <t>Vegetables&gt; Consumer Goods</t>
  </si>
  <si>
    <t>Same as Onions</t>
  </si>
  <si>
    <t>Spices</t>
  </si>
  <si>
    <t>Stimulants</t>
  </si>
  <si>
    <t>Broad Beans</t>
  </si>
  <si>
    <t>Chick peas</t>
  </si>
  <si>
    <t>Cow peas, dry</t>
  </si>
  <si>
    <t>Pigeon peas, dry</t>
  </si>
  <si>
    <t>Lentils</t>
  </si>
  <si>
    <t>Bambara beans</t>
  </si>
  <si>
    <t>Vetches</t>
  </si>
  <si>
    <t>Lupins</t>
  </si>
  <si>
    <t>Pulses, nes</t>
  </si>
  <si>
    <t>Onions &gt;</t>
  </si>
  <si>
    <t>Pulses, Nuts</t>
  </si>
  <si>
    <t>Spices, Stimulants</t>
  </si>
  <si>
    <t>Nuts</t>
  </si>
  <si>
    <t>Almonds</t>
  </si>
  <si>
    <t>Brazil nuts</t>
  </si>
  <si>
    <t>Cashew nuts</t>
  </si>
  <si>
    <t>Chestnut</t>
  </si>
  <si>
    <t>Hazelnuts</t>
  </si>
  <si>
    <t>Pistachios</t>
  </si>
  <si>
    <t>Walnuts</t>
  </si>
  <si>
    <t>Nuts nes</t>
  </si>
  <si>
    <t>Cloves</t>
  </si>
  <si>
    <t>Pepper</t>
  </si>
  <si>
    <t>Pimento</t>
  </si>
  <si>
    <t>Vanilla</t>
  </si>
  <si>
    <t>Cinnamon</t>
  </si>
  <si>
    <t>Nutmeg, mace and cardamoms</t>
  </si>
  <si>
    <t>Anise, badian, fennel, coriander</t>
  </si>
  <si>
    <t>Ginger</t>
  </si>
  <si>
    <t>Spices, nes</t>
  </si>
  <si>
    <t>Cocoa</t>
  </si>
  <si>
    <t>Coffee</t>
  </si>
  <si>
    <t>Tea</t>
  </si>
  <si>
    <t>Almonds with shell</t>
  </si>
  <si>
    <t>Almonds shelled</t>
  </si>
  <si>
    <t>SUA Food (less shelled Almonds)</t>
  </si>
  <si>
    <t>Almonds shelled processed food</t>
  </si>
  <si>
    <t>Vegetables, Other SUA Other Uses</t>
  </si>
  <si>
    <t>Almonds SUA Feed</t>
  </si>
  <si>
    <t>Almonds Feed</t>
  </si>
  <si>
    <t>Proc. for Food &gt; Bedding, Fuels Other Uses</t>
  </si>
  <si>
    <t>Shell = Almonds with shell processed minus Almonds shelled &gt; 10%: feed, 10% bedding, 80% Industrial (Fuel) (Planet estimate)</t>
  </si>
  <si>
    <t>Almond SUA Other Uses</t>
  </si>
  <si>
    <t>Almonds Processed</t>
  </si>
  <si>
    <t>Industrial &gt; Consumer Goods</t>
  </si>
  <si>
    <t>Almonds Other Uses</t>
  </si>
  <si>
    <t>Almonds &gt; Consumer Goods</t>
  </si>
  <si>
    <t>Same as Almonds (because they have shells)</t>
  </si>
  <si>
    <t>Buckwheat</t>
  </si>
  <si>
    <t>Cereals, nes, et al Brans SUA Feed</t>
  </si>
  <si>
    <t>Animal Products</t>
  </si>
  <si>
    <t>Same as Fruits</t>
  </si>
  <si>
    <t>Almonds = All Nuts</t>
  </si>
  <si>
    <t>Peas = All vegetables</t>
  </si>
  <si>
    <t>Peas  = All vegetables</t>
  </si>
  <si>
    <t>Corn</t>
  </si>
  <si>
    <t>Chick Peas</t>
  </si>
  <si>
    <t>= Soybeans</t>
  </si>
  <si>
    <t>= Straw</t>
  </si>
  <si>
    <t>= Fruits</t>
  </si>
  <si>
    <t>FAOStat SUA/USDA</t>
  </si>
  <si>
    <t>Proc. for Food &gt; Evaporated Water</t>
  </si>
  <si>
    <t>Planet</t>
  </si>
  <si>
    <t>SUA Processed - minus food minus pulp minus molasses</t>
  </si>
  <si>
    <t>Sugar Beet &gt; Evaporated Water</t>
  </si>
  <si>
    <t>SUA Processed - minus food minus bagasse minus molasses</t>
  </si>
  <si>
    <t>Sugar Cane &gt; Evaporated Water</t>
  </si>
  <si>
    <t>Oil meals &gt; Animals</t>
  </si>
  <si>
    <t>Oil meal &gt; Animals</t>
  </si>
  <si>
    <t>Palm Oil</t>
  </si>
  <si>
    <t>Oil Palm Fruit Other Uses</t>
  </si>
  <si>
    <t>Planet pdf</t>
  </si>
  <si>
    <t>220% of FFB &gt; 10% to Feed, 90% to Fuel</t>
  </si>
  <si>
    <t>Palm Oil Trunks</t>
  </si>
  <si>
    <t>Palm Oil Fronds</t>
  </si>
  <si>
    <t>Palm Oil Industrial &gt; Fuel</t>
  </si>
  <si>
    <t>FAOStat SUA - EU countries</t>
  </si>
  <si>
    <t>FAOStat SUA EU countries</t>
  </si>
  <si>
    <t>FBS processing for PKO and PO / Not yet assigned (margerines etc is captured under FBS Oil Crops Other)</t>
  </si>
  <si>
    <t>Palm Oil Proc. &gt; Feed</t>
  </si>
  <si>
    <t>Palm Kernels</t>
  </si>
  <si>
    <t>(Oil Palm Fruit = FFB)</t>
  </si>
  <si>
    <t>Oil Palm Fruit</t>
  </si>
  <si>
    <t>220% of FFB (Oil Palm Fruit) &gt; 10% to Feed, 90% to Fuel</t>
  </si>
  <si>
    <t>100% of FFB (Oil Palm Fruit) &gt; 50% to Remain; 50% to Fuels</t>
  </si>
  <si>
    <t>Oil, Palm</t>
  </si>
  <si>
    <t>Oil, Palm Kernel</t>
  </si>
  <si>
    <t>Oil, Palm Kernel Other Uses</t>
  </si>
  <si>
    <t>Oil, Palm SUA Processed</t>
  </si>
  <si>
    <t>Oil, Palm Other Uses</t>
  </si>
  <si>
    <t>Palm Kernel Other Uses</t>
  </si>
  <si>
    <t>Oil Palm Fruit (FFB) Other Uses</t>
  </si>
  <si>
    <t>Palm Kernel Processed minus Palm Kernel Oil &gt; this means that Processing for food must be reduced by this amount, otherwise it would be double</t>
  </si>
  <si>
    <t>POME</t>
  </si>
  <si>
    <t>Oil Palm Fruit Processing * 41% = Fibres (Empty Fruit Bunches 22%, Pressed fruit fibre 13.5%, Oil palm shell 5.5%)</t>
  </si>
  <si>
    <t>Oil Palm Fruit Processing minus Palm Oi minus Palm Kernels minus 41% Fibres = POME (Palm Oil Mill Effluent, Concentrated, actual tonnage about 3x more) &gt; 50% Fuel, Other; 50% Feed</t>
  </si>
  <si>
    <t>Palm Oil &gt; Fuel, Other</t>
  </si>
  <si>
    <t>Palm Oil &gt; Consumer Goods (soaps, cosmetics, cooking oil !)</t>
  </si>
  <si>
    <t>SUA Other Use</t>
  </si>
  <si>
    <t>In EU of all Palm Oil Imports: 60% goes to Fuel, 20% goes to Consumer Goods (Cosmetics); 20% goes to Processed Food</t>
  </si>
  <si>
    <t>Palm Kernel Other Use</t>
  </si>
  <si>
    <t>Wirsenius (acc to Planet research should be production x 1.15)</t>
  </si>
  <si>
    <t>Oil Meal &gt; Animals</t>
  </si>
  <si>
    <t>Distillers gains (draff)</t>
  </si>
  <si>
    <t>Planet Feedipedia</t>
  </si>
  <si>
    <t>Maize Corn Oil</t>
  </si>
  <si>
    <t>1 kg of tomato = 0.1 kg of residue</t>
  </si>
  <si>
    <t>Tomato Leaves &gt; Remain</t>
  </si>
  <si>
    <t>Oranges + Mandarines, Tangerines, Clementines, Satsumas ( SUA Food)</t>
  </si>
  <si>
    <t>1 kg Malt &gt; 1.2 kg BG * 0.85 (Synthesis 1.2)</t>
  </si>
  <si>
    <t>1 kg Malt &gt; 1.5 kg DG * 0.15 (Synthesis 1.2)</t>
  </si>
  <si>
    <t>1 kg Maize &gt; 0.23 kg DDGS low fat</t>
  </si>
  <si>
    <t>1 kg Maize &gt; 0.013 kg Distillers Corn Oil * 50% for feed</t>
  </si>
  <si>
    <t>1 kg Maize &gt; 0.013 kg Distillers Corn Oil * 50% for fuel</t>
  </si>
  <si>
    <t>use same as Maize germ oil</t>
  </si>
  <si>
    <t>Maize Germ Oil</t>
  </si>
  <si>
    <t>INRAE Maize Flour</t>
  </si>
  <si>
    <t>Feedipedia Maize Stover</t>
  </si>
  <si>
    <t>Maize Stover &gt; Feed</t>
  </si>
  <si>
    <t>Oats Groats</t>
  </si>
  <si>
    <t>Rice bran oil &gt; 5%, fibre 5-11%</t>
  </si>
  <si>
    <t>Sorghum and Products FBS Food</t>
  </si>
  <si>
    <t>Wheat Middlings Average</t>
  </si>
  <si>
    <t>FAOStat SUA of respective fruit</t>
  </si>
  <si>
    <t>Same scheme for all Fruits.Other fruits</t>
  </si>
  <si>
    <t>Groundnut meal &lt; 5% oil, crude fibre &gt; 9%</t>
  </si>
  <si>
    <t>Palm kernel meal, oil &lt; 5%</t>
  </si>
  <si>
    <t>Soybean Cake &lt; 5% oil, 48% protein + oil</t>
  </si>
  <si>
    <t>Side Product of SUA Potato Starch - Starch &gt; 0.33 kg dry matter pulp</t>
  </si>
  <si>
    <t>Potato Tubers DRIED ! DM factor is 4.5</t>
  </si>
  <si>
    <t>Potato Pulp DRIED ! DM factor is 4.5</t>
  </si>
  <si>
    <t>Side Product of SUA Cassava Starch - Starch &gt; 0.33 kg Pulp</t>
  </si>
  <si>
    <t>Maple Sugar and Syrups</t>
  </si>
  <si>
    <t>Palm sugars</t>
  </si>
  <si>
    <t>= Triticale</t>
  </si>
  <si>
    <t>INRAE Rice</t>
  </si>
  <si>
    <t>Shell = 28% of processed &gt; 20% bedding, 80% Fuel</t>
  </si>
  <si>
    <t>Copra Fresh (minus shells)</t>
  </si>
  <si>
    <t>Shell (hard nut) - coir dust</t>
  </si>
  <si>
    <t>Husk, coir dust</t>
  </si>
  <si>
    <t>Peanuts forage</t>
  </si>
  <si>
    <t>Sweet potato forage</t>
  </si>
  <si>
    <t>Filter cake = Sugar cane total amount * 3.5%</t>
  </si>
  <si>
    <t>10% of processing</t>
  </si>
  <si>
    <t>Pasture Products</t>
  </si>
  <si>
    <t>Cropland Pasture</t>
  </si>
  <si>
    <t>Forage Vegetables</t>
  </si>
  <si>
    <t>Grass-Legume</t>
  </si>
  <si>
    <t>Permanent Pasture</t>
  </si>
  <si>
    <t>Whole Maize</t>
  </si>
  <si>
    <t>= Permanent Pasture</t>
  </si>
  <si>
    <t>= Whole Maize</t>
  </si>
  <si>
    <t>Fish</t>
  </si>
  <si>
    <t>Chicken</t>
  </si>
  <si>
    <t>Pork</t>
  </si>
  <si>
    <t>Beef</t>
  </si>
  <si>
    <t>Milk</t>
  </si>
  <si>
    <t>Egg</t>
  </si>
  <si>
    <t>Water = Coconut Processed - 28% shell - 2.8 x SUA oil production (36% of flesh is oil) - 2 x SUA desiccated coconut flesh (because moisture content of flesh is 50%) = 600 million liters in total ? *5.5%</t>
  </si>
  <si>
    <t>Coconut &gt; Evaporated Water</t>
  </si>
  <si>
    <t>Water = Coconut Processed - 28% shell - 2.8 x SUA oil production (36% of flesh is oil) - 2 x SUA desiccated coconut flesh (because moisture content of flesh is 50%) = 600 million liters in total ? *94.5% &gt; Evaporated Water + Water from Copra meal production: Oil * 2.8 - oil - meal = evaporated water</t>
  </si>
  <si>
    <t>Crop &gt;Proc.&gt; Raw Food</t>
  </si>
  <si>
    <t>Planet Chapter 3 SUA Production * 3.7</t>
  </si>
  <si>
    <t>Sorghum Bran</t>
  </si>
  <si>
    <t>Sorghum Bran SUA Feed</t>
  </si>
  <si>
    <t>Sorghum Bran &gt; Feed</t>
  </si>
  <si>
    <t>Copra Meal, solvent extraction</t>
  </si>
  <si>
    <t>Palm Press Fibres low oil</t>
  </si>
  <si>
    <t>Barley Straw</t>
  </si>
  <si>
    <t>Straw</t>
  </si>
  <si>
    <t>Rye Straw</t>
  </si>
  <si>
    <t>Triticale Straw</t>
  </si>
  <si>
    <t>Oats Straw</t>
  </si>
  <si>
    <t xml:space="preserve">Straw </t>
  </si>
  <si>
    <t>Tef Straw</t>
  </si>
  <si>
    <t xml:space="preserve">Feedipedia </t>
  </si>
  <si>
    <t>Rape Straw</t>
  </si>
  <si>
    <t>Sugar Beet Tops Fresh</t>
  </si>
  <si>
    <t>Sugar cane forage fresh</t>
  </si>
  <si>
    <t>Tomato Pomace dyhadrated</t>
  </si>
  <si>
    <t>Feedipedia Maize Silage &lt; 25% DM</t>
  </si>
  <si>
    <t>Oil Palm Fruit Processing minus Palm Oil minus Palm Kernels minus 41% Fibres = POME (Palm Oil Mill Effluent, Concentrated, actual tonnage about 3x more) &gt; 50% Fuel, Other; 50% Feed</t>
  </si>
  <si>
    <t>Will be broken down next step</t>
  </si>
  <si>
    <t>Proc. for Food &gt; Fuels/Other Uses</t>
  </si>
  <si>
    <t>Wirsenius ratios for bagasse/molasse portion</t>
  </si>
  <si>
    <t>Bagasse/Molasse Cane</t>
  </si>
  <si>
    <t>Sugar Beet Proc  &gt; Fuels/Other Uses</t>
  </si>
  <si>
    <t>Sugar Cane Proc  &gt; Fuels/Other Uses</t>
  </si>
  <si>
    <t>Same as Wirsenius sugar pulp</t>
  </si>
  <si>
    <t>Potato Pulp</t>
  </si>
  <si>
    <t>Potato Processed</t>
  </si>
  <si>
    <t>Potato Proc  &gt; Fuels/Other Uses</t>
  </si>
  <si>
    <t>Cassava Pulp</t>
  </si>
  <si>
    <t>Cassava Proc  &gt; Fuels/Other 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</si>
</sst>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theme="9" tint="0.5999938962981048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0" fillId="0" borderId="0" xfId="0" quotePrefix="1"/>
    <xf numFmtId="0" fontId="0" fillId="3" borderId="0" xfId="0" applyFill="1"/>
    <xf numFmtId="0" fontId="3" fillId="3" borderId="0" xfId="0" applyFont="1" applyFill="1"/>
    <xf numFmtId="0" fontId="7" fillId="0" borderId="0" xfId="0" applyFont="1"/>
    <xf numFmtId="0" fontId="7" fillId="0" borderId="0" xfId="0" quotePrefix="1" applyFont="1"/>
    <xf numFmtId="0" fontId="0" fillId="4" borderId="0" xfId="0" applyFill="1"/>
    <xf numFmtId="0" fontId="3" fillId="4" borderId="0" xfId="0" applyFont="1" applyFill="1"/>
    <xf numFmtId="0" fontId="0" fillId="5" borderId="0" xfId="0" applyFill="1"/>
    <xf numFmtId="0" fontId="6" fillId="5" borderId="0" xfId="0" applyFont="1" applyFill="1"/>
    <xf numFmtId="0" fontId="5" fillId="5" borderId="0" xfId="0" applyFont="1" applyFill="1"/>
    <xf numFmtId="0" fontId="3" fillId="5" borderId="0" xfId="0" applyFont="1" applyFill="1"/>
    <xf numFmtId="0" fontId="7" fillId="5" borderId="0" xfId="0" applyFont="1" applyFill="1"/>
    <xf numFmtId="0" fontId="2" fillId="5" borderId="0" xfId="0" applyFont="1" applyFill="1"/>
    <xf numFmtId="0" fontId="8" fillId="5" borderId="0" xfId="0" applyFont="1" applyFill="1"/>
    <xf numFmtId="0" fontId="4" fillId="5" borderId="0" xfId="0" applyFont="1" applyFill="1"/>
    <xf numFmtId="0" fontId="3" fillId="6" borderId="0" xfId="0" applyFont="1" applyFill="1"/>
    <xf numFmtId="0" fontId="0" fillId="6" borderId="0" xfId="0" applyFill="1"/>
    <xf numFmtId="0" fontId="7" fillId="6" borderId="0" xfId="0" applyFont="1" applyFill="1"/>
    <xf numFmtId="0" fontId="9" fillId="5" borderId="0" xfId="0" applyFont="1" applyFill="1"/>
    <xf numFmtId="0" fontId="9" fillId="0" borderId="0" xfId="0" applyFont="1"/>
    <xf numFmtId="0" fontId="9" fillId="6" borderId="0" xfId="0" applyFont="1" applyFill="1"/>
    <xf numFmtId="0" fontId="10" fillId="5" borderId="0" xfId="0" applyFont="1" applyFill="1"/>
    <xf numFmtId="0" fontId="10" fillId="0" borderId="0" xfId="0" applyFont="1"/>
    <xf numFmtId="0" fontId="10" fillId="2" borderId="0" xfId="0" applyFont="1" applyFill="1"/>
    <xf numFmtId="0" fontId="10" fillId="3" borderId="0" xfId="0" applyFont="1" applyFill="1"/>
    <xf numFmtId="0" fontId="10" fillId="4" borderId="0" xfId="0" applyFont="1" applyFill="1"/>
    <xf numFmtId="0" fontId="10" fillId="6" borderId="0" xfId="0" applyFont="1" applyFill="1"/>
    <xf numFmtId="0" fontId="11" fillId="6" borderId="0" xfId="0" applyFont="1" applyFill="1"/>
    <xf numFmtId="0" fontId="11" fillId="0" borderId="0" xfId="0" applyFont="1"/>
    <xf numFmtId="0" fontId="10" fillId="7" borderId="0" xfId="0" applyFont="1" applyFill="1"/>
    <xf numFmtId="0" fontId="10" fillId="0" borderId="0" xfId="0" quotePrefix="1" applyFont="1"/>
    <xf numFmtId="0" fontId="12" fillId="5" borderId="0" xfId="0" applyFont="1" applyFill="1"/>
    <xf numFmtId="1" fontId="0" fillId="3" borderId="0" xfId="0" applyNumberFormat="1" applyFill="1"/>
    <xf numFmtId="0" fontId="14" fillId="5" borderId="0" xfId="0" applyFont="1" applyFill="1"/>
    <xf numFmtId="0" fontId="15" fillId="5" borderId="0" xfId="0" applyFont="1" applyFill="1"/>
    <xf numFmtId="0" fontId="15" fillId="0" borderId="0" xfId="0" applyFont="1"/>
    <xf numFmtId="0" fontId="15" fillId="6" borderId="0" xfId="0" applyFont="1" applyFill="1"/>
    <xf numFmtId="0" fontId="15" fillId="7" borderId="0" xfId="0" applyFont="1" applyFill="1"/>
    <xf numFmtId="0" fontId="9" fillId="0" borderId="0" xfId="0" quotePrefix="1" applyFont="1"/>
    <xf numFmtId="1" fontId="7" fillId="2" borderId="0" xfId="0" applyNumberFormat="1" applyFont="1" applyFill="1"/>
    <xf numFmtId="1" fontId="7" fillId="3" borderId="0" xfId="0" applyNumberFormat="1" applyFont="1" applyFill="1"/>
    <xf numFmtId="1" fontId="7" fillId="4" borderId="0" xfId="0" applyNumberFormat="1" applyFont="1" applyFill="1"/>
    <xf numFmtId="1" fontId="9" fillId="2" borderId="0" xfId="0" applyNumberFormat="1" applyFont="1" applyFill="1"/>
    <xf numFmtId="1" fontId="9" fillId="3" borderId="0" xfId="0" applyNumberFormat="1" applyFont="1" applyFill="1"/>
    <xf numFmtId="1" fontId="9" fillId="4" borderId="0" xfId="0" applyNumberFormat="1" applyFont="1" applyFill="1"/>
    <xf numFmtId="1" fontId="0" fillId="2" borderId="0" xfId="0" applyNumberFormat="1" applyFill="1"/>
    <xf numFmtId="1" fontId="0" fillId="4" borderId="0" xfId="0" applyNumberFormat="1" applyFill="1"/>
    <xf numFmtId="1" fontId="10" fillId="2" borderId="0" xfId="0" applyNumberFormat="1" applyFont="1" applyFill="1"/>
    <xf numFmtId="1" fontId="10" fillId="3" borderId="0" xfId="0" applyNumberFormat="1" applyFont="1" applyFill="1"/>
    <xf numFmtId="1" fontId="10" fillId="4" borderId="0" xfId="0" applyNumberFormat="1" applyFont="1" applyFill="1"/>
    <xf numFmtId="1" fontId="15" fillId="2" borderId="0" xfId="0" applyNumberFormat="1" applyFont="1" applyFill="1"/>
    <xf numFmtId="1" fontId="15" fillId="3" borderId="0" xfId="0" applyNumberFormat="1" applyFont="1" applyFill="1"/>
    <xf numFmtId="1" fontId="15" fillId="4" borderId="0" xfId="0" applyNumberFormat="1" applyFont="1" applyFill="1"/>
    <xf numFmtId="1" fontId="13" fillId="2" borderId="0" xfId="0" applyNumberFormat="1" applyFont="1" applyFill="1"/>
    <xf numFmtId="1" fontId="13" fillId="3" borderId="0" xfId="0" applyNumberFormat="1" applyFont="1" applyFill="1"/>
    <xf numFmtId="1" fontId="13" fillId="4" borderId="0" xfId="0" applyNumberFormat="1" applyFont="1" applyFill="1"/>
    <xf numFmtId="0" fontId="16" fillId="5" borderId="0" xfId="0" applyFont="1" applyFill="1"/>
    <xf numFmtId="0" fontId="16" fillId="0" borderId="0" xfId="0" applyFont="1"/>
    <xf numFmtId="0" fontId="17" fillId="5" borderId="0" xfId="0" applyFont="1" applyFill="1"/>
    <xf numFmtId="0" fontId="17" fillId="0" borderId="0" xfId="0" applyFont="1"/>
    <xf numFmtId="1" fontId="17" fillId="2" borderId="0" xfId="0" applyNumberFormat="1" applyFont="1" applyFill="1"/>
    <xf numFmtId="1" fontId="17" fillId="3" borderId="0" xfId="0" applyNumberFormat="1" applyFont="1" applyFill="1"/>
    <xf numFmtId="1" fontId="17" fillId="4" borderId="0" xfId="0" applyNumberFormat="1" applyFont="1" applyFill="1"/>
    <xf numFmtId="0" fontId="17" fillId="6" borderId="0" xfId="0" applyFont="1" applyFill="1"/>
    <xf numFmtId="0" fontId="17" fillId="0" borderId="0" xfId="0" quotePrefix="1" applyFont="1"/>
    <xf numFmtId="1" fontId="2" fillId="2" borderId="0" xfId="0" applyNumberFormat="1" applyFont="1" applyFill="1"/>
    <xf numFmtId="1" fontId="2" fillId="3" borderId="0" xfId="0" applyNumberFormat="1" applyFont="1" applyFill="1"/>
    <xf numFmtId="1" fontId="2" fillId="4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374650</xdr:colOff>
      <xdr:row>2</xdr:row>
      <xdr:rowOff>25400</xdr:rowOff>
    </xdr:from>
    <xdr:to>
      <xdr:col>7</xdr:col>
      <xdr:colOff>490220</xdr:colOff>
      <xdr:row>11</xdr:row>
      <xdr:rowOff>146050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4B44DAB-05B0-4F47-A9D6-5D8270CAB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" y="393700"/>
          <a:ext cx="4687570" cy="177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A8A0F-4311-42AF-9BAB-E73F21A38DB0}">
  <dimension ref="B16:B21"/>
  <sheetViews>
    <sheetView workbookViewId="0">
      <selection activeCell="B17" sqref="B17"/>
    </sheetView>
  </sheetViews>
  <sheetFormatPr baseColWidth="10" defaultRowHeight="14.5" x14ac:dyDescent="0.35"/>
  <sheetData>
    <row r="16" spans="2:2" ht="26" x14ac:dyDescent="0.6">
      <c r="B16" s="1" t="s">
        <v>1</v>
      </c>
    </row>
    <row r="21" spans="2:2" ht="26" x14ac:dyDescent="0.6">
      <c r="B21" s="1" t="s">
        <v>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3585-CBD0-47E6-9746-82ABA27726CE}">
  <dimension ref="A1"/>
  <sheetViews>
    <sheetView workbookViewId="0"/>
  </sheetViews>
  <sheetFormatPr baseColWidth="10" defaultRowHeight="14.5" x14ac:dyDescent="0.35"/>
  <sheetData>
    <row r="1" spans="1:1" ht="26" x14ac:dyDescent="0.6">
      <c r="A1" s="1" t="s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A98E2-9AA8-4569-A971-2A44569D62C0}">
  <dimension ref="A1:S572"/>
  <sheetViews>
    <sheetView tabSelected="1" zoomScale="110" zoomScaleNormal="110" workbookViewId="0">
      <pane xSplit="6" ySplit="2" topLeftCell="G237" activePane="bottomRight" state="frozen"/>
      <selection pane="topRight" activeCell="F1" sqref="F1"/>
      <selection pane="bottomLeft" activeCell="A3" sqref="A3"/>
      <selection pane="bottomRight" activeCell="I249" sqref="I249"/>
    </sheetView>
  </sheetViews>
  <sheetFormatPr baseColWidth="10" defaultRowHeight="14.5" x14ac:dyDescent="0.35"/>
  <cols>
    <col min="1" max="1" width="6.81640625" customWidth="1"/>
    <col min="2" max="2" width="10.1796875" style="14" customWidth="1"/>
    <col min="3" max="3" width="9.6328125" style="15" customWidth="1"/>
    <col min="4" max="4" width="9.08984375" style="15" customWidth="1"/>
    <col min="5" max="5" width="9.81640625" style="13" customWidth="1"/>
    <col min="6" max="6" width="26.08984375" style="13" customWidth="1"/>
    <col min="7" max="7" width="17.36328125" customWidth="1"/>
    <col min="8" max="8" width="12.6328125" customWidth="1"/>
    <col min="9" max="9" width="27.54296875" customWidth="1"/>
    <col min="10" max="10" width="9.6328125" customWidth="1"/>
    <col min="11" max="11" width="20.81640625" customWidth="1"/>
    <col min="12" max="12" width="20.6328125" customWidth="1"/>
    <col min="13" max="13" width="3.90625" customWidth="1"/>
    <col min="14" max="14" width="21.6328125" style="3" customWidth="1"/>
    <col min="15" max="15" width="21.6328125" style="7" customWidth="1"/>
    <col min="16" max="16" width="21.6328125" style="11" customWidth="1"/>
    <col min="17" max="17" width="13.36328125" style="22" customWidth="1"/>
  </cols>
  <sheetData>
    <row r="1" spans="1:18" x14ac:dyDescent="0.35">
      <c r="B1" s="14" t="s">
        <v>53</v>
      </c>
      <c r="E1" s="16"/>
      <c r="F1" s="16"/>
      <c r="G1" s="4" t="s">
        <v>183</v>
      </c>
      <c r="H1" s="4" t="s">
        <v>183</v>
      </c>
      <c r="I1" s="4" t="s">
        <v>138</v>
      </c>
      <c r="J1" s="4" t="s">
        <v>10</v>
      </c>
      <c r="K1" s="4" t="s">
        <v>10</v>
      </c>
      <c r="L1" s="4" t="s">
        <v>10</v>
      </c>
      <c r="M1" s="4"/>
      <c r="N1" s="5"/>
      <c r="Q1" s="21" t="s">
        <v>120</v>
      </c>
      <c r="R1" s="4" t="s">
        <v>142</v>
      </c>
    </row>
    <row r="2" spans="1:18" x14ac:dyDescent="0.35">
      <c r="C2" s="15" t="s">
        <v>54</v>
      </c>
      <c r="E2" s="16" t="s">
        <v>55</v>
      </c>
      <c r="F2" s="16" t="s">
        <v>14</v>
      </c>
      <c r="G2" s="4" t="s">
        <v>184</v>
      </c>
      <c r="H2" s="4" t="s">
        <v>185</v>
      </c>
      <c r="I2" s="4" t="s">
        <v>141</v>
      </c>
      <c r="J2" s="4" t="s">
        <v>162</v>
      </c>
      <c r="K2" s="4" t="s">
        <v>8</v>
      </c>
      <c r="L2" s="4" t="s">
        <v>20</v>
      </c>
      <c r="M2" s="4"/>
      <c r="N2" s="5" t="s">
        <v>128</v>
      </c>
      <c r="O2" s="8" t="s">
        <v>100</v>
      </c>
      <c r="P2" s="12" t="s">
        <v>121</v>
      </c>
      <c r="Q2" s="21" t="s">
        <v>101</v>
      </c>
      <c r="R2" s="4" t="s">
        <v>143</v>
      </c>
    </row>
    <row r="3" spans="1:18" x14ac:dyDescent="0.35">
      <c r="B3" s="14" t="s">
        <v>3</v>
      </c>
    </row>
    <row r="4" spans="1:18" x14ac:dyDescent="0.35">
      <c r="C4" s="15" t="s">
        <v>4</v>
      </c>
      <c r="E4" s="27" t="s">
        <v>7</v>
      </c>
      <c r="F4" s="27" t="s">
        <v>158</v>
      </c>
      <c r="G4" s="28" t="s">
        <v>151</v>
      </c>
      <c r="H4" s="28" t="s">
        <v>151</v>
      </c>
      <c r="I4" s="28" t="s">
        <v>139</v>
      </c>
      <c r="J4" s="28"/>
      <c r="K4" s="28" t="s">
        <v>144</v>
      </c>
      <c r="L4" s="28" t="s">
        <v>146</v>
      </c>
      <c r="M4" s="28"/>
      <c r="N4" s="29" t="s">
        <v>46</v>
      </c>
      <c r="O4" s="30"/>
      <c r="P4" s="31"/>
      <c r="Q4" s="32">
        <v>0.47</v>
      </c>
      <c r="R4" t="s">
        <v>4</v>
      </c>
    </row>
    <row r="5" spans="1:18" x14ac:dyDescent="0.35">
      <c r="E5" s="27"/>
      <c r="F5" s="27" t="s">
        <v>159</v>
      </c>
      <c r="G5" s="28" t="s">
        <v>152</v>
      </c>
      <c r="H5" s="28" t="s">
        <v>152</v>
      </c>
      <c r="I5" s="28" t="s">
        <v>140</v>
      </c>
      <c r="J5" s="28"/>
      <c r="K5" s="28" t="s">
        <v>145</v>
      </c>
      <c r="L5" s="28" t="s">
        <v>146</v>
      </c>
      <c r="M5" s="28"/>
      <c r="N5" s="29" t="s">
        <v>47</v>
      </c>
      <c r="O5" s="30"/>
      <c r="P5" s="31"/>
      <c r="Q5" s="32">
        <v>0.47</v>
      </c>
    </row>
    <row r="6" spans="1:18" x14ac:dyDescent="0.35">
      <c r="E6" s="27"/>
      <c r="F6" s="27" t="s">
        <v>160</v>
      </c>
      <c r="G6" s="28" t="s">
        <v>151</v>
      </c>
      <c r="H6" s="28" t="s">
        <v>151</v>
      </c>
      <c r="I6" s="35" t="s">
        <v>553</v>
      </c>
      <c r="J6" s="35"/>
      <c r="K6" s="35" t="s">
        <v>161</v>
      </c>
      <c r="L6" s="35" t="s">
        <v>9</v>
      </c>
      <c r="M6" s="28"/>
      <c r="N6" s="29" t="s">
        <v>48</v>
      </c>
      <c r="O6" s="30"/>
      <c r="P6" s="31"/>
      <c r="Q6" s="32"/>
    </row>
    <row r="8" spans="1:18" x14ac:dyDescent="0.35">
      <c r="E8" s="17" t="s">
        <v>5</v>
      </c>
      <c r="F8" s="17" t="s">
        <v>153</v>
      </c>
      <c r="G8" s="9" t="s">
        <v>151</v>
      </c>
      <c r="H8" s="9" t="s">
        <v>6</v>
      </c>
      <c r="I8" s="9" t="s">
        <v>140</v>
      </c>
      <c r="J8" s="9" t="s">
        <v>11</v>
      </c>
      <c r="K8" s="9" t="s">
        <v>170</v>
      </c>
      <c r="L8" s="9" t="s">
        <v>172</v>
      </c>
      <c r="M8" s="9"/>
      <c r="N8" s="45">
        <v>203</v>
      </c>
      <c r="O8" s="46">
        <v>3940</v>
      </c>
      <c r="P8" s="47">
        <v>16</v>
      </c>
      <c r="Q8" s="23">
        <v>0.47</v>
      </c>
    </row>
    <row r="9" spans="1:18" x14ac:dyDescent="0.35">
      <c r="A9" s="2"/>
      <c r="E9" s="17"/>
      <c r="F9" s="17" t="s">
        <v>154</v>
      </c>
      <c r="G9" s="9" t="s">
        <v>745</v>
      </c>
      <c r="H9" s="9" t="s">
        <v>6</v>
      </c>
      <c r="I9" s="9" t="s">
        <v>750</v>
      </c>
      <c r="J9" s="9" t="s">
        <v>167</v>
      </c>
      <c r="K9" s="9" t="s">
        <v>13</v>
      </c>
      <c r="L9" s="9" t="s">
        <v>171</v>
      </c>
      <c r="M9" s="9"/>
      <c r="N9" s="45">
        <f>239/5</f>
        <v>47.8</v>
      </c>
      <c r="O9" s="46">
        <f>4510/5</f>
        <v>902</v>
      </c>
      <c r="P9" s="47">
        <f>78/5</f>
        <v>15.6</v>
      </c>
      <c r="Q9" s="23">
        <v>0.47</v>
      </c>
    </row>
    <row r="10" spans="1:18" x14ac:dyDescent="0.35">
      <c r="A10" s="2"/>
      <c r="E10" s="17"/>
      <c r="F10" s="17" t="s">
        <v>155</v>
      </c>
      <c r="G10" s="9" t="s">
        <v>745</v>
      </c>
      <c r="H10" s="9" t="s">
        <v>6</v>
      </c>
      <c r="I10" s="9" t="s">
        <v>751</v>
      </c>
      <c r="J10" s="9" t="s">
        <v>744</v>
      </c>
      <c r="K10" s="9" t="s">
        <v>13</v>
      </c>
      <c r="L10" s="9" t="s">
        <v>171</v>
      </c>
      <c r="M10" s="9"/>
      <c r="N10" s="45">
        <v>50</v>
      </c>
      <c r="O10" s="46">
        <v>1250</v>
      </c>
      <c r="P10" s="47">
        <v>19</v>
      </c>
      <c r="Q10" s="23">
        <v>0.47</v>
      </c>
    </row>
    <row r="11" spans="1:18" x14ac:dyDescent="0.35">
      <c r="A11" s="2"/>
      <c r="E11" s="17"/>
      <c r="F11" s="17" t="s">
        <v>156</v>
      </c>
      <c r="G11" s="9" t="s">
        <v>151</v>
      </c>
      <c r="H11" s="9" t="s">
        <v>6</v>
      </c>
      <c r="I11" s="9" t="s">
        <v>190</v>
      </c>
      <c r="J11" s="9" t="s">
        <v>4</v>
      </c>
      <c r="K11" s="9" t="s">
        <v>169</v>
      </c>
      <c r="L11" s="9" t="s">
        <v>33</v>
      </c>
      <c r="M11" s="9"/>
      <c r="N11" s="45">
        <v>99</v>
      </c>
      <c r="O11" s="46">
        <v>3820</v>
      </c>
      <c r="P11" s="47">
        <v>16</v>
      </c>
      <c r="Q11" s="23">
        <v>0.47</v>
      </c>
    </row>
    <row r="12" spans="1:18" x14ac:dyDescent="0.35">
      <c r="A12" s="2"/>
      <c r="E12" s="17"/>
      <c r="F12" s="17" t="s">
        <v>157</v>
      </c>
      <c r="G12" s="9" t="s">
        <v>165</v>
      </c>
      <c r="H12" s="9" t="s">
        <v>24</v>
      </c>
      <c r="I12" s="9" t="s">
        <v>166</v>
      </c>
      <c r="J12" s="9" t="s">
        <v>809</v>
      </c>
      <c r="K12" s="9" t="s">
        <v>18</v>
      </c>
      <c r="L12" s="9" t="s">
        <v>810</v>
      </c>
      <c r="M12" s="9"/>
      <c r="N12" s="45">
        <f>38*0.91</f>
        <v>34.58</v>
      </c>
      <c r="O12" s="46">
        <f>18.2*239*0.91</f>
        <v>3958.3180000000002</v>
      </c>
      <c r="P12" s="47">
        <f>14*0.91</f>
        <v>12.74</v>
      </c>
      <c r="Q12" s="23">
        <v>0.1</v>
      </c>
    </row>
    <row r="13" spans="1:18" x14ac:dyDescent="0.35">
      <c r="A13" s="2"/>
      <c r="E13" s="17"/>
      <c r="F13" s="17"/>
      <c r="G13" s="9"/>
      <c r="H13" s="9"/>
      <c r="I13" s="9"/>
      <c r="J13" s="9"/>
      <c r="K13" s="9"/>
      <c r="L13" s="9"/>
      <c r="M13" s="9"/>
      <c r="N13" s="71"/>
      <c r="O13" s="72"/>
      <c r="P13" s="73"/>
      <c r="Q13" s="23"/>
    </row>
    <row r="14" spans="1:18" x14ac:dyDescent="0.35">
      <c r="A14" s="2"/>
      <c r="E14" s="24" t="s">
        <v>163</v>
      </c>
      <c r="F14" s="24" t="s">
        <v>148</v>
      </c>
      <c r="G14" s="25" t="s">
        <v>152</v>
      </c>
      <c r="H14" s="25" t="s">
        <v>152</v>
      </c>
      <c r="I14" s="25" t="s">
        <v>140</v>
      </c>
      <c r="J14" s="25"/>
      <c r="K14" s="25" t="s">
        <v>150</v>
      </c>
      <c r="L14" s="34" t="s">
        <v>243</v>
      </c>
      <c r="M14" s="25"/>
      <c r="N14" s="71"/>
      <c r="O14" s="72"/>
      <c r="P14" s="73"/>
      <c r="Q14" s="33">
        <v>0.47</v>
      </c>
    </row>
    <row r="15" spans="1:18" x14ac:dyDescent="0.35">
      <c r="A15" s="2"/>
      <c r="E15" s="24"/>
      <c r="F15" s="24" t="s">
        <v>147</v>
      </c>
      <c r="G15" s="25" t="s">
        <v>151</v>
      </c>
      <c r="H15" s="25" t="s">
        <v>151</v>
      </c>
      <c r="I15" s="25" t="s">
        <v>140</v>
      </c>
      <c r="J15" s="25"/>
      <c r="K15" s="25" t="s">
        <v>149</v>
      </c>
      <c r="L15" s="25" t="s">
        <v>232</v>
      </c>
      <c r="M15" s="25"/>
      <c r="N15" s="71"/>
      <c r="O15" s="72"/>
      <c r="P15" s="73"/>
      <c r="Q15" s="33">
        <v>0.47</v>
      </c>
    </row>
    <row r="16" spans="1:18" x14ac:dyDescent="0.35">
      <c r="A16" s="2"/>
      <c r="E16" s="24"/>
      <c r="F16" s="24" t="s">
        <v>164</v>
      </c>
      <c r="G16" s="25" t="s">
        <v>165</v>
      </c>
      <c r="H16" s="25" t="s">
        <v>24</v>
      </c>
      <c r="I16" s="25" t="s">
        <v>166</v>
      </c>
      <c r="J16" s="25" t="s">
        <v>809</v>
      </c>
      <c r="K16" s="25" t="s">
        <v>18</v>
      </c>
      <c r="L16" s="25" t="s">
        <v>810</v>
      </c>
      <c r="M16" s="25"/>
      <c r="N16" s="48">
        <f>38*0.91</f>
        <v>34.58</v>
      </c>
      <c r="O16" s="49">
        <f>18.2*239*0.91</f>
        <v>3958.3180000000002</v>
      </c>
      <c r="P16" s="50">
        <f>14*0.91</f>
        <v>12.74</v>
      </c>
      <c r="Q16" s="33">
        <v>0.1</v>
      </c>
    </row>
    <row r="17" spans="1:18" x14ac:dyDescent="0.35">
      <c r="A17" s="2"/>
      <c r="N17" s="51"/>
      <c r="O17" s="38"/>
      <c r="P17" s="52"/>
    </row>
    <row r="18" spans="1:18" s="28" customFormat="1" x14ac:dyDescent="0.35">
      <c r="A18" s="2"/>
      <c r="B18" s="14"/>
      <c r="C18" s="15" t="s">
        <v>19</v>
      </c>
      <c r="D18" s="15" t="s">
        <v>689</v>
      </c>
      <c r="E18" s="27" t="s">
        <v>7</v>
      </c>
      <c r="F18" s="27" t="s">
        <v>158</v>
      </c>
      <c r="G18" s="28" t="s">
        <v>151</v>
      </c>
      <c r="H18" s="28" t="s">
        <v>151</v>
      </c>
      <c r="I18" s="28" t="s">
        <v>139</v>
      </c>
      <c r="K18" s="28" t="s">
        <v>174</v>
      </c>
      <c r="L18" s="28" t="s">
        <v>19</v>
      </c>
      <c r="N18" s="53"/>
      <c r="O18" s="54"/>
      <c r="P18" s="55"/>
      <c r="Q18" s="32">
        <v>0.5</v>
      </c>
      <c r="R18" s="36" t="s">
        <v>775</v>
      </c>
    </row>
    <row r="19" spans="1:18" s="28" customFormat="1" x14ac:dyDescent="0.35">
      <c r="A19" s="2"/>
      <c r="B19" s="14"/>
      <c r="C19" s="15"/>
      <c r="D19" s="15"/>
      <c r="E19" s="27"/>
      <c r="F19" s="27" t="s">
        <v>159</v>
      </c>
      <c r="G19" s="28" t="s">
        <v>152</v>
      </c>
      <c r="H19" s="28" t="s">
        <v>152</v>
      </c>
      <c r="I19" s="28" t="s">
        <v>140</v>
      </c>
      <c r="K19" s="28" t="s">
        <v>175</v>
      </c>
      <c r="L19" s="28" t="s">
        <v>19</v>
      </c>
      <c r="N19" s="53"/>
      <c r="O19" s="54"/>
      <c r="P19" s="55"/>
      <c r="Q19" s="32">
        <v>0.5</v>
      </c>
    </row>
    <row r="20" spans="1:18" s="28" customFormat="1" x14ac:dyDescent="0.35">
      <c r="A20" s="2"/>
      <c r="B20" s="14"/>
      <c r="C20" s="15"/>
      <c r="D20" s="15"/>
      <c r="E20" s="27"/>
      <c r="F20" s="27" t="s">
        <v>160</v>
      </c>
      <c r="G20" s="28" t="s">
        <v>151</v>
      </c>
      <c r="H20" s="28" t="s">
        <v>151</v>
      </c>
      <c r="I20" s="35" t="s">
        <v>553</v>
      </c>
      <c r="J20" s="35"/>
      <c r="K20" s="35" t="s">
        <v>161</v>
      </c>
      <c r="L20" s="35" t="s">
        <v>9</v>
      </c>
      <c r="N20" s="53"/>
      <c r="O20" s="54"/>
      <c r="P20" s="55"/>
      <c r="Q20" s="32"/>
    </row>
    <row r="21" spans="1:18" x14ac:dyDescent="0.35">
      <c r="A21" s="2"/>
      <c r="N21" s="51"/>
      <c r="O21" s="38"/>
      <c r="P21" s="52"/>
    </row>
    <row r="22" spans="1:18" x14ac:dyDescent="0.35">
      <c r="A22" s="2"/>
      <c r="E22" s="17" t="s">
        <v>5</v>
      </c>
      <c r="F22" s="17" t="s">
        <v>153</v>
      </c>
      <c r="G22" s="9" t="s">
        <v>151</v>
      </c>
      <c r="H22" s="9" t="s">
        <v>186</v>
      </c>
      <c r="I22" s="9" t="s">
        <v>140</v>
      </c>
      <c r="J22" s="9" t="s">
        <v>23</v>
      </c>
      <c r="K22" s="9" t="s">
        <v>690</v>
      </c>
      <c r="L22" s="9" t="s">
        <v>188</v>
      </c>
      <c r="N22" s="45">
        <v>153</v>
      </c>
      <c r="O22" s="46">
        <v>3930</v>
      </c>
      <c r="P22" s="47">
        <v>33</v>
      </c>
      <c r="Q22" s="23">
        <v>0.5</v>
      </c>
    </row>
    <row r="23" spans="1:18" x14ac:dyDescent="0.35">
      <c r="A23" s="2"/>
      <c r="E23" s="17"/>
      <c r="F23" s="17" t="s">
        <v>156</v>
      </c>
      <c r="G23" s="9" t="s">
        <v>151</v>
      </c>
      <c r="H23" s="9" t="s">
        <v>187</v>
      </c>
      <c r="I23" s="9" t="s">
        <v>190</v>
      </c>
      <c r="J23" s="9" t="s">
        <v>22</v>
      </c>
      <c r="K23" s="9" t="s">
        <v>177</v>
      </c>
      <c r="L23" s="9" t="s">
        <v>189</v>
      </c>
      <c r="N23" s="45">
        <v>100</v>
      </c>
      <c r="O23" s="46">
        <v>3750</v>
      </c>
      <c r="P23" s="47">
        <v>12</v>
      </c>
      <c r="Q23" s="23">
        <v>0.5</v>
      </c>
    </row>
    <row r="24" spans="1:18" x14ac:dyDescent="0.35">
      <c r="A24" s="2"/>
      <c r="E24" s="17"/>
      <c r="F24" s="17" t="s">
        <v>157</v>
      </c>
      <c r="G24" s="9" t="s">
        <v>165</v>
      </c>
      <c r="H24" s="9" t="s">
        <v>24</v>
      </c>
      <c r="I24" s="9" t="s">
        <v>166</v>
      </c>
      <c r="J24" s="9" t="s">
        <v>812</v>
      </c>
      <c r="K24" s="9" t="s">
        <v>18</v>
      </c>
      <c r="L24" s="9" t="s">
        <v>810</v>
      </c>
      <c r="N24" s="45">
        <f>32*0.93</f>
        <v>29.76</v>
      </c>
      <c r="O24" s="46">
        <f>18.7*239*0.93</f>
        <v>4156.4490000000005</v>
      </c>
      <c r="P24" s="47">
        <f>22*0.93</f>
        <v>20.46</v>
      </c>
      <c r="Q24" s="23">
        <v>0.1</v>
      </c>
    </row>
    <row r="25" spans="1:18" x14ac:dyDescent="0.35">
      <c r="A25" s="2"/>
      <c r="E25" s="17"/>
      <c r="F25" s="17"/>
      <c r="G25" s="9"/>
      <c r="H25" s="9"/>
      <c r="I25" s="9"/>
      <c r="J25" s="9"/>
      <c r="K25" s="9"/>
      <c r="L25" s="9"/>
      <c r="N25" s="71"/>
      <c r="O25" s="72"/>
      <c r="P25" s="73"/>
    </row>
    <row r="26" spans="1:18" x14ac:dyDescent="0.35">
      <c r="A26" s="2"/>
      <c r="E26" s="24" t="s">
        <v>163</v>
      </c>
      <c r="F26" s="24" t="s">
        <v>148</v>
      </c>
      <c r="G26" s="25" t="s">
        <v>152</v>
      </c>
      <c r="H26" s="25" t="s">
        <v>152</v>
      </c>
      <c r="I26" s="25" t="s">
        <v>140</v>
      </c>
      <c r="J26" s="25"/>
      <c r="K26" s="25" t="s">
        <v>176</v>
      </c>
      <c r="L26" s="25" t="s">
        <v>242</v>
      </c>
      <c r="N26" s="71"/>
      <c r="O26" s="72"/>
      <c r="P26" s="73"/>
      <c r="Q26" s="33">
        <v>0.5</v>
      </c>
    </row>
    <row r="27" spans="1:18" x14ac:dyDescent="0.35">
      <c r="A27" s="2"/>
      <c r="E27" s="24"/>
      <c r="F27" s="24" t="s">
        <v>147</v>
      </c>
      <c r="G27" s="25" t="s">
        <v>151</v>
      </c>
      <c r="H27" s="25" t="s">
        <v>151</v>
      </c>
      <c r="I27" s="25" t="s">
        <v>140</v>
      </c>
      <c r="J27" s="25"/>
      <c r="K27" s="25" t="s">
        <v>178</v>
      </c>
      <c r="L27" s="25" t="s">
        <v>233</v>
      </c>
      <c r="N27" s="71"/>
      <c r="O27" s="72"/>
      <c r="P27" s="73"/>
      <c r="Q27" s="33">
        <v>0.5</v>
      </c>
    </row>
    <row r="28" spans="1:18" x14ac:dyDescent="0.35">
      <c r="A28" s="2"/>
      <c r="E28" s="24"/>
      <c r="F28" s="24" t="s">
        <v>164</v>
      </c>
      <c r="G28" s="25" t="s">
        <v>165</v>
      </c>
      <c r="H28" s="25" t="s">
        <v>24</v>
      </c>
      <c r="I28" s="25" t="s">
        <v>166</v>
      </c>
      <c r="J28" s="25" t="s">
        <v>812</v>
      </c>
      <c r="K28" s="25" t="s">
        <v>18</v>
      </c>
      <c r="L28" s="25" t="s">
        <v>810</v>
      </c>
      <c r="N28" s="48">
        <f>32*0.93</f>
        <v>29.76</v>
      </c>
      <c r="O28" s="49">
        <f>18.7*239*0.93</f>
        <v>4156.4490000000005</v>
      </c>
      <c r="P28" s="50">
        <f>22*0.93</f>
        <v>20.46</v>
      </c>
      <c r="Q28" s="33">
        <v>0.1</v>
      </c>
    </row>
    <row r="29" spans="1:18" x14ac:dyDescent="0.35">
      <c r="A29" s="2"/>
      <c r="N29" s="51"/>
      <c r="O29" s="38"/>
      <c r="P29" s="52"/>
    </row>
    <row r="30" spans="1:18" x14ac:dyDescent="0.35">
      <c r="A30" s="2"/>
      <c r="C30" s="15" t="s">
        <v>21</v>
      </c>
      <c r="E30" s="27" t="s">
        <v>7</v>
      </c>
      <c r="F30" s="27" t="s">
        <v>158</v>
      </c>
      <c r="G30" s="28" t="s">
        <v>151</v>
      </c>
      <c r="H30" s="28" t="s">
        <v>151</v>
      </c>
      <c r="I30" s="28" t="s">
        <v>139</v>
      </c>
      <c r="J30" s="28"/>
      <c r="K30" s="28" t="s">
        <v>182</v>
      </c>
      <c r="L30" s="28" t="s">
        <v>21</v>
      </c>
      <c r="M30" s="28"/>
      <c r="N30" s="53"/>
      <c r="O30" s="54"/>
      <c r="P30" s="55"/>
      <c r="Q30" s="32">
        <v>0.36</v>
      </c>
      <c r="R30" t="s">
        <v>696</v>
      </c>
    </row>
    <row r="31" spans="1:18" x14ac:dyDescent="0.35">
      <c r="A31" s="2"/>
      <c r="E31" s="27"/>
      <c r="F31" s="27" t="s">
        <v>159</v>
      </c>
      <c r="G31" s="28" t="s">
        <v>151</v>
      </c>
      <c r="H31" s="28" t="s">
        <v>151</v>
      </c>
      <c r="I31" s="28" t="s">
        <v>139</v>
      </c>
      <c r="J31" s="28"/>
      <c r="K31" s="28" t="s">
        <v>517</v>
      </c>
      <c r="L31" s="28" t="s">
        <v>21</v>
      </c>
      <c r="M31" s="28"/>
      <c r="N31" s="53"/>
      <c r="O31" s="54"/>
      <c r="P31" s="55"/>
      <c r="Q31" s="32">
        <v>0.36</v>
      </c>
    </row>
    <row r="32" spans="1:18" x14ac:dyDescent="0.35">
      <c r="A32" s="2"/>
      <c r="E32" s="27"/>
      <c r="F32" s="27" t="s">
        <v>160</v>
      </c>
      <c r="G32" s="28" t="s">
        <v>151</v>
      </c>
      <c r="H32" s="28" t="s">
        <v>151</v>
      </c>
      <c r="I32" s="35" t="s">
        <v>553</v>
      </c>
      <c r="J32" s="35"/>
      <c r="K32" s="35" t="s">
        <v>95</v>
      </c>
      <c r="L32" s="35" t="s">
        <v>179</v>
      </c>
      <c r="M32" s="28"/>
      <c r="N32" s="53"/>
      <c r="O32" s="54"/>
      <c r="P32" s="55"/>
      <c r="Q32" s="32"/>
    </row>
    <row r="33" spans="1:17" x14ac:dyDescent="0.35">
      <c r="A33" s="2"/>
      <c r="E33" s="27"/>
      <c r="F33" s="27" t="s">
        <v>160</v>
      </c>
      <c r="G33" s="28" t="s">
        <v>151</v>
      </c>
      <c r="H33" s="28" t="s">
        <v>151</v>
      </c>
      <c r="I33" s="35" t="s">
        <v>553</v>
      </c>
      <c r="J33" s="35"/>
      <c r="K33" s="35" t="s">
        <v>96</v>
      </c>
      <c r="L33" s="35" t="s">
        <v>179</v>
      </c>
      <c r="M33" s="28"/>
      <c r="N33" s="53"/>
      <c r="O33" s="54"/>
      <c r="P33" s="55"/>
      <c r="Q33" s="32"/>
    </row>
    <row r="34" spans="1:17" x14ac:dyDescent="0.35">
      <c r="A34" s="2"/>
      <c r="C34" s="20"/>
      <c r="D34" s="20"/>
      <c r="E34" s="27"/>
      <c r="F34" s="27" t="s">
        <v>159</v>
      </c>
      <c r="G34" s="28" t="s">
        <v>151</v>
      </c>
      <c r="H34" s="28" t="s">
        <v>151</v>
      </c>
      <c r="I34" s="28" t="s">
        <v>125</v>
      </c>
      <c r="J34" s="28"/>
      <c r="K34" s="28" t="s">
        <v>180</v>
      </c>
      <c r="L34" s="28" t="s">
        <v>21</v>
      </c>
      <c r="M34" s="28"/>
      <c r="N34" s="53"/>
      <c r="O34" s="54"/>
      <c r="P34" s="55"/>
      <c r="Q34" s="32">
        <v>0.36</v>
      </c>
    </row>
    <row r="35" spans="1:17" x14ac:dyDescent="0.35">
      <c r="A35" s="2"/>
      <c r="C35" s="20"/>
      <c r="D35" s="20"/>
      <c r="E35" s="27"/>
      <c r="F35" s="27" t="s">
        <v>159</v>
      </c>
      <c r="G35" s="28" t="s">
        <v>151</v>
      </c>
      <c r="H35" s="28" t="s">
        <v>151</v>
      </c>
      <c r="I35" s="28" t="s">
        <v>125</v>
      </c>
      <c r="J35" s="28"/>
      <c r="K35" s="28" t="s">
        <v>181</v>
      </c>
      <c r="L35" s="28" t="s">
        <v>21</v>
      </c>
      <c r="M35" s="28"/>
      <c r="N35" s="53"/>
      <c r="O35" s="54"/>
      <c r="P35" s="55"/>
      <c r="Q35" s="32">
        <v>0.36</v>
      </c>
    </row>
    <row r="36" spans="1:17" x14ac:dyDescent="0.35">
      <c r="A36" s="2"/>
      <c r="N36" s="51"/>
      <c r="O36" s="38"/>
      <c r="P36" s="52"/>
    </row>
    <row r="37" spans="1:17" x14ac:dyDescent="0.35">
      <c r="A37" s="2"/>
      <c r="E37" s="17" t="s">
        <v>5</v>
      </c>
      <c r="F37" s="17" t="s">
        <v>153</v>
      </c>
      <c r="G37" s="9" t="s">
        <v>151</v>
      </c>
      <c r="H37" s="9" t="s">
        <v>6</v>
      </c>
      <c r="I37" s="9" t="s">
        <v>458</v>
      </c>
      <c r="J37" s="9" t="s">
        <v>193</v>
      </c>
      <c r="K37" s="9" t="s">
        <v>195</v>
      </c>
      <c r="L37" s="9" t="s">
        <v>198</v>
      </c>
      <c r="M37" s="9"/>
      <c r="N37" s="45">
        <v>189</v>
      </c>
      <c r="O37" s="46">
        <v>3930</v>
      </c>
      <c r="P37" s="47">
        <v>25</v>
      </c>
      <c r="Q37" s="23">
        <v>0.1</v>
      </c>
    </row>
    <row r="38" spans="1:17" x14ac:dyDescent="0.35">
      <c r="A38" s="2"/>
      <c r="E38" s="62"/>
      <c r="F38" s="62" t="s">
        <v>154</v>
      </c>
      <c r="G38" s="63" t="s">
        <v>151</v>
      </c>
      <c r="H38" s="63" t="s">
        <v>6</v>
      </c>
      <c r="I38" s="63" t="s">
        <v>458</v>
      </c>
      <c r="J38" s="63" t="s">
        <v>193</v>
      </c>
      <c r="K38" s="63" t="s">
        <v>197</v>
      </c>
      <c r="L38" s="63" t="s">
        <v>198</v>
      </c>
      <c r="M38" s="9"/>
      <c r="N38" s="45"/>
      <c r="O38" s="46"/>
      <c r="P38" s="47"/>
      <c r="Q38" s="23">
        <v>0.1</v>
      </c>
    </row>
    <row r="39" spans="1:17" x14ac:dyDescent="0.35">
      <c r="A39" s="2"/>
      <c r="E39" s="62"/>
      <c r="F39" s="62" t="s">
        <v>155</v>
      </c>
      <c r="G39" s="63" t="s">
        <v>151</v>
      </c>
      <c r="H39" s="63" t="s">
        <v>6</v>
      </c>
      <c r="I39" s="63" t="s">
        <v>458</v>
      </c>
      <c r="J39" s="63" t="s">
        <v>193</v>
      </c>
      <c r="K39" s="63" t="s">
        <v>196</v>
      </c>
      <c r="L39" s="63" t="s">
        <v>198</v>
      </c>
      <c r="M39" s="9"/>
      <c r="N39" s="45"/>
      <c r="O39" s="46"/>
      <c r="P39" s="47"/>
      <c r="Q39" s="23">
        <v>0.1</v>
      </c>
    </row>
    <row r="40" spans="1:17" x14ac:dyDescent="0.35">
      <c r="E40" s="17"/>
      <c r="F40" s="17" t="s">
        <v>156</v>
      </c>
      <c r="G40" s="9" t="s">
        <v>151</v>
      </c>
      <c r="H40" s="9" t="s">
        <v>6</v>
      </c>
      <c r="I40" s="9" t="s">
        <v>190</v>
      </c>
      <c r="J40" s="9" t="s">
        <v>194</v>
      </c>
      <c r="K40" s="9" t="s">
        <v>205</v>
      </c>
      <c r="L40" s="9" t="s">
        <v>32</v>
      </c>
      <c r="M40" s="9"/>
      <c r="N40" s="45">
        <v>76</v>
      </c>
      <c r="O40" s="46">
        <v>3840</v>
      </c>
      <c r="P40" s="47">
        <v>36</v>
      </c>
      <c r="Q40" s="23">
        <v>0.36</v>
      </c>
    </row>
    <row r="41" spans="1:17" x14ac:dyDescent="0.35">
      <c r="A41" s="2"/>
      <c r="E41" s="17"/>
      <c r="F41" s="17" t="s">
        <v>157</v>
      </c>
      <c r="G41" s="9" t="s">
        <v>165</v>
      </c>
      <c r="H41" s="9" t="s">
        <v>24</v>
      </c>
      <c r="I41" s="9" t="s">
        <v>199</v>
      </c>
      <c r="J41" s="9" t="s">
        <v>25</v>
      </c>
      <c r="K41" s="9" t="s">
        <v>18</v>
      </c>
      <c r="L41" s="9" t="s">
        <v>25</v>
      </c>
      <c r="M41" s="9"/>
      <c r="N41" s="45">
        <f>68/3</f>
        <v>22.666666666666668</v>
      </c>
      <c r="O41" s="46">
        <f>18.2*239/3</f>
        <v>1449.9333333333334</v>
      </c>
      <c r="P41" s="47">
        <f>18/3</f>
        <v>6</v>
      </c>
      <c r="Q41" s="23">
        <v>0.1</v>
      </c>
    </row>
    <row r="42" spans="1:17" x14ac:dyDescent="0.35">
      <c r="A42" s="2"/>
      <c r="E42" s="17"/>
      <c r="F42" s="17" t="s">
        <v>27</v>
      </c>
      <c r="G42" s="9" t="s">
        <v>745</v>
      </c>
      <c r="H42" s="9" t="s">
        <v>6</v>
      </c>
      <c r="I42" s="9" t="s">
        <v>752</v>
      </c>
      <c r="J42" s="9" t="s">
        <v>28</v>
      </c>
      <c r="K42" s="9" t="s">
        <v>18</v>
      </c>
      <c r="L42" s="9" t="s">
        <v>28</v>
      </c>
      <c r="M42" s="9"/>
      <c r="N42" s="45">
        <f>273/5</f>
        <v>54.6</v>
      </c>
      <c r="O42" s="46">
        <f>4640/5</f>
        <v>928</v>
      </c>
      <c r="P42" s="47">
        <f>126/5</f>
        <v>25.2</v>
      </c>
      <c r="Q42" s="23">
        <v>0.36</v>
      </c>
    </row>
    <row r="43" spans="1:17" x14ac:dyDescent="0.35">
      <c r="A43" s="2"/>
      <c r="E43" s="17"/>
      <c r="F43" s="17" t="s">
        <v>27</v>
      </c>
      <c r="G43" s="9" t="s">
        <v>745</v>
      </c>
      <c r="H43" s="9" t="s">
        <v>756</v>
      </c>
      <c r="I43" s="9" t="s">
        <v>753</v>
      </c>
      <c r="J43" s="9" t="s">
        <v>28</v>
      </c>
      <c r="K43" s="9" t="s">
        <v>18</v>
      </c>
      <c r="L43" s="9" t="s">
        <v>746</v>
      </c>
      <c r="M43" s="9"/>
      <c r="N43" s="45" t="s">
        <v>755</v>
      </c>
      <c r="O43" s="46"/>
      <c r="P43" s="47"/>
      <c r="Q43" s="23">
        <v>0</v>
      </c>
    </row>
    <row r="44" spans="1:17" x14ac:dyDescent="0.35">
      <c r="E44" s="17"/>
      <c r="F44" s="17"/>
      <c r="G44" s="9"/>
      <c r="H44" s="9"/>
      <c r="I44" s="9"/>
      <c r="J44" s="9"/>
      <c r="K44" s="9"/>
      <c r="L44" s="9"/>
      <c r="M44" s="9"/>
      <c r="N44" s="45"/>
      <c r="O44" s="46"/>
      <c r="P44" s="47"/>
      <c r="Q44" s="23"/>
    </row>
    <row r="45" spans="1:17" x14ac:dyDescent="0.35">
      <c r="E45" s="24" t="s">
        <v>163</v>
      </c>
      <c r="F45" s="24" t="s">
        <v>148</v>
      </c>
      <c r="G45" s="25" t="s">
        <v>152</v>
      </c>
      <c r="H45" s="25" t="s">
        <v>757</v>
      </c>
      <c r="I45" s="25" t="s">
        <v>140</v>
      </c>
      <c r="J45" s="25"/>
      <c r="K45" s="25" t="s">
        <v>191</v>
      </c>
      <c r="L45" s="34" t="s">
        <v>241</v>
      </c>
      <c r="M45" s="25"/>
      <c r="N45" s="48">
        <v>91</v>
      </c>
      <c r="O45" s="46">
        <v>4120</v>
      </c>
      <c r="P45" s="47">
        <v>68</v>
      </c>
      <c r="Q45" s="33">
        <v>0.36</v>
      </c>
    </row>
    <row r="46" spans="1:17" x14ac:dyDescent="0.35">
      <c r="E46" s="24"/>
      <c r="F46" s="24" t="s">
        <v>147</v>
      </c>
      <c r="G46" s="25" t="s">
        <v>151</v>
      </c>
      <c r="H46" s="25" t="s">
        <v>151</v>
      </c>
      <c r="I46" s="25" t="s">
        <v>140</v>
      </c>
      <c r="J46" s="25"/>
      <c r="K46" s="25" t="s">
        <v>192</v>
      </c>
      <c r="L46" s="25" t="s">
        <v>234</v>
      </c>
      <c r="M46" s="25"/>
      <c r="N46" s="48"/>
      <c r="O46" s="46"/>
      <c r="P46" s="47"/>
      <c r="Q46" s="33">
        <v>0.36</v>
      </c>
    </row>
    <row r="47" spans="1:17" x14ac:dyDescent="0.35">
      <c r="E47" s="24"/>
      <c r="F47" s="24" t="s">
        <v>147</v>
      </c>
      <c r="G47" s="25" t="s">
        <v>745</v>
      </c>
      <c r="H47" s="25" t="s">
        <v>6</v>
      </c>
      <c r="I47" s="25" t="s">
        <v>754</v>
      </c>
      <c r="J47" s="25" t="s">
        <v>28</v>
      </c>
      <c r="K47" s="25" t="s">
        <v>18</v>
      </c>
      <c r="L47" s="25" t="s">
        <v>746</v>
      </c>
      <c r="M47" s="25"/>
      <c r="N47" s="48" t="s">
        <v>755</v>
      </c>
      <c r="O47" s="49"/>
      <c r="P47" s="50"/>
      <c r="Q47" s="26">
        <v>0</v>
      </c>
    </row>
    <row r="48" spans="1:17" x14ac:dyDescent="0.35">
      <c r="E48" s="24"/>
      <c r="F48" s="24" t="s">
        <v>164</v>
      </c>
      <c r="G48" s="25" t="s">
        <v>165</v>
      </c>
      <c r="H48" s="25" t="s">
        <v>24</v>
      </c>
      <c r="I48" s="25" t="s">
        <v>166</v>
      </c>
      <c r="J48" s="25" t="s">
        <v>25</v>
      </c>
      <c r="K48" s="25" t="s">
        <v>18</v>
      </c>
      <c r="L48" s="25" t="s">
        <v>25</v>
      </c>
      <c r="M48" s="25"/>
      <c r="N48" s="48">
        <f>68/3</f>
        <v>22.666666666666668</v>
      </c>
      <c r="O48" s="49">
        <f>18.2*239/3</f>
        <v>1449.9333333333334</v>
      </c>
      <c r="P48" s="50">
        <f>18/3</f>
        <v>6</v>
      </c>
      <c r="Q48" s="33">
        <v>0.1</v>
      </c>
    </row>
    <row r="49" spans="3:18" x14ac:dyDescent="0.35">
      <c r="E49" s="17"/>
      <c r="F49" s="17"/>
      <c r="G49" s="9"/>
      <c r="H49" s="9"/>
      <c r="I49" s="9"/>
      <c r="J49" s="9"/>
      <c r="K49" s="9"/>
      <c r="L49" s="9"/>
      <c r="M49" s="9"/>
      <c r="N49" s="45"/>
      <c r="O49" s="46"/>
      <c r="P49" s="47"/>
      <c r="Q49" s="23"/>
    </row>
    <row r="50" spans="3:18" x14ac:dyDescent="0.35">
      <c r="C50" s="15" t="s">
        <v>29</v>
      </c>
      <c r="E50" s="27" t="s">
        <v>7</v>
      </c>
      <c r="F50" s="27" t="s">
        <v>158</v>
      </c>
      <c r="G50" s="28" t="s">
        <v>151</v>
      </c>
      <c r="H50" s="28" t="s">
        <v>151</v>
      </c>
      <c r="I50" s="28" t="s">
        <v>139</v>
      </c>
      <c r="J50" s="28"/>
      <c r="K50" s="28" t="s">
        <v>200</v>
      </c>
      <c r="L50" s="28" t="s">
        <v>29</v>
      </c>
      <c r="M50" s="28"/>
      <c r="N50" s="53"/>
      <c r="O50" s="54"/>
      <c r="P50" s="55"/>
      <c r="Q50" s="32">
        <v>0.47</v>
      </c>
      <c r="R50" s="36" t="s">
        <v>94</v>
      </c>
    </row>
    <row r="51" spans="3:18" x14ac:dyDescent="0.35">
      <c r="E51" s="27"/>
      <c r="F51" s="27" t="s">
        <v>159</v>
      </c>
      <c r="G51" s="28" t="s">
        <v>152</v>
      </c>
      <c r="H51" s="28" t="s">
        <v>152</v>
      </c>
      <c r="I51" s="28" t="s">
        <v>140</v>
      </c>
      <c r="J51" s="28"/>
      <c r="K51" s="28" t="s">
        <v>201</v>
      </c>
      <c r="L51" s="28" t="s">
        <v>29</v>
      </c>
      <c r="M51" s="28"/>
      <c r="N51" s="53"/>
      <c r="O51" s="54"/>
      <c r="P51" s="55"/>
      <c r="Q51" s="32">
        <v>0.47</v>
      </c>
      <c r="R51" s="28"/>
    </row>
    <row r="52" spans="3:18" x14ac:dyDescent="0.35">
      <c r="E52" s="27"/>
      <c r="F52" s="27" t="s">
        <v>160</v>
      </c>
      <c r="G52" s="28" t="s">
        <v>151</v>
      </c>
      <c r="H52" s="28" t="s">
        <v>151</v>
      </c>
      <c r="I52" s="35" t="s">
        <v>553</v>
      </c>
      <c r="J52" s="35"/>
      <c r="K52" s="35" t="s">
        <v>161</v>
      </c>
      <c r="L52" s="35" t="s">
        <v>9</v>
      </c>
      <c r="M52" s="28"/>
      <c r="N52" s="53"/>
      <c r="O52" s="54"/>
      <c r="P52" s="55"/>
      <c r="Q52" s="32"/>
      <c r="R52" s="28"/>
    </row>
    <row r="53" spans="3:18" x14ac:dyDescent="0.35">
      <c r="N53" s="51"/>
      <c r="O53" s="38"/>
      <c r="P53" s="52"/>
    </row>
    <row r="54" spans="3:18" x14ac:dyDescent="0.35">
      <c r="E54" s="17" t="s">
        <v>5</v>
      </c>
      <c r="F54" s="17" t="s">
        <v>153</v>
      </c>
      <c r="G54" s="9" t="s">
        <v>151</v>
      </c>
      <c r="H54" s="9" t="s">
        <v>776</v>
      </c>
      <c r="I54" s="9" t="s">
        <v>140</v>
      </c>
      <c r="J54" s="9" t="s">
        <v>37</v>
      </c>
      <c r="K54" s="9" t="s">
        <v>203</v>
      </c>
      <c r="L54" s="9" t="s">
        <v>204</v>
      </c>
      <c r="N54" s="45">
        <v>138</v>
      </c>
      <c r="O54" s="46">
        <v>4680</v>
      </c>
      <c r="P54" s="47">
        <v>166</v>
      </c>
      <c r="Q54" s="23">
        <v>0.47</v>
      </c>
    </row>
    <row r="55" spans="3:18" x14ac:dyDescent="0.35">
      <c r="E55" s="17"/>
      <c r="F55" s="17" t="s">
        <v>156</v>
      </c>
      <c r="G55" s="9" t="s">
        <v>151</v>
      </c>
      <c r="H55" s="9" t="s">
        <v>151</v>
      </c>
      <c r="I55" s="9" t="s">
        <v>190</v>
      </c>
      <c r="J55" s="9" t="s">
        <v>30</v>
      </c>
      <c r="K55" s="9" t="s">
        <v>202</v>
      </c>
      <c r="L55" s="9" t="s">
        <v>31</v>
      </c>
      <c r="N55" s="51"/>
      <c r="O55" s="38"/>
      <c r="P55" s="52"/>
      <c r="Q55" s="23">
        <v>0.47</v>
      </c>
    </row>
    <row r="56" spans="3:18" x14ac:dyDescent="0.35">
      <c r="E56" s="17"/>
      <c r="F56" s="17" t="s">
        <v>157</v>
      </c>
      <c r="G56" s="9" t="s">
        <v>165</v>
      </c>
      <c r="H56" s="9" t="s">
        <v>816</v>
      </c>
      <c r="I56" s="9" t="s">
        <v>166</v>
      </c>
      <c r="J56" s="9" t="s">
        <v>815</v>
      </c>
      <c r="K56" s="9" t="s">
        <v>18</v>
      </c>
      <c r="L56" s="9" t="s">
        <v>810</v>
      </c>
      <c r="N56" s="45">
        <f>41*0.92</f>
        <v>37.72</v>
      </c>
      <c r="O56" s="46">
        <f>18.1*239*0.92</f>
        <v>3979.8280000000009</v>
      </c>
      <c r="P56" s="47">
        <f>19*0.92</f>
        <v>17.48</v>
      </c>
      <c r="Q56" s="23">
        <v>0.1</v>
      </c>
    </row>
    <row r="57" spans="3:18" x14ac:dyDescent="0.35">
      <c r="E57" s="17"/>
      <c r="F57" s="17"/>
      <c r="G57" s="9"/>
      <c r="H57" s="9"/>
      <c r="I57" s="9"/>
      <c r="J57" s="9"/>
      <c r="K57" s="9"/>
      <c r="L57" s="9"/>
      <c r="N57" s="71"/>
      <c r="O57" s="72"/>
      <c r="P57" s="73"/>
    </row>
    <row r="58" spans="3:18" x14ac:dyDescent="0.35">
      <c r="E58" s="24" t="s">
        <v>163</v>
      </c>
      <c r="F58" s="24" t="s">
        <v>148</v>
      </c>
      <c r="G58" s="25" t="s">
        <v>152</v>
      </c>
      <c r="H58" s="25" t="s">
        <v>152</v>
      </c>
      <c r="I58" s="25" t="s">
        <v>140</v>
      </c>
      <c r="J58" s="25"/>
      <c r="K58" s="25" t="s">
        <v>212</v>
      </c>
      <c r="L58" s="25" t="s">
        <v>240</v>
      </c>
      <c r="N58" s="71"/>
      <c r="O58" s="72"/>
      <c r="P58" s="73"/>
      <c r="Q58" s="33">
        <v>0.47</v>
      </c>
    </row>
    <row r="59" spans="3:18" x14ac:dyDescent="0.35">
      <c r="E59" s="24"/>
      <c r="F59" s="24" t="s">
        <v>147</v>
      </c>
      <c r="G59" s="25" t="s">
        <v>151</v>
      </c>
      <c r="H59" s="25" t="s">
        <v>151</v>
      </c>
      <c r="I59" s="25" t="s">
        <v>140</v>
      </c>
      <c r="J59" s="25"/>
      <c r="K59" s="25" t="s">
        <v>213</v>
      </c>
      <c r="L59" s="25" t="s">
        <v>235</v>
      </c>
      <c r="N59" s="71"/>
      <c r="O59" s="72"/>
      <c r="P59" s="73"/>
      <c r="Q59" s="33">
        <v>0.47</v>
      </c>
    </row>
    <row r="60" spans="3:18" x14ac:dyDescent="0.35">
      <c r="E60" s="24"/>
      <c r="F60" s="24" t="s">
        <v>164</v>
      </c>
      <c r="G60" s="25" t="s">
        <v>165</v>
      </c>
      <c r="H60" s="25" t="s">
        <v>816</v>
      </c>
      <c r="I60" s="25" t="s">
        <v>166</v>
      </c>
      <c r="J60" s="25" t="s">
        <v>815</v>
      </c>
      <c r="K60" s="25" t="s">
        <v>18</v>
      </c>
      <c r="L60" s="25" t="s">
        <v>810</v>
      </c>
      <c r="N60" s="48">
        <f>41*0.92</f>
        <v>37.72</v>
      </c>
      <c r="O60" s="49">
        <f>18.1*239*0.92</f>
        <v>3979.8280000000009</v>
      </c>
      <c r="P60" s="50">
        <f>19*0.92</f>
        <v>17.48</v>
      </c>
      <c r="Q60" s="33">
        <v>0.1</v>
      </c>
    </row>
    <row r="61" spans="3:18" x14ac:dyDescent="0.35">
      <c r="N61" s="51"/>
      <c r="O61" s="38"/>
      <c r="P61" s="52"/>
    </row>
    <row r="62" spans="3:18" x14ac:dyDescent="0.35">
      <c r="C62" s="15" t="s">
        <v>34</v>
      </c>
      <c r="E62" s="27" t="s">
        <v>7</v>
      </c>
      <c r="F62" s="27" t="s">
        <v>158</v>
      </c>
      <c r="G62" s="28" t="s">
        <v>151</v>
      </c>
      <c r="H62" s="28" t="s">
        <v>151</v>
      </c>
      <c r="I62" s="28" t="s">
        <v>139</v>
      </c>
      <c r="J62" s="28"/>
      <c r="K62" s="28" t="s">
        <v>206</v>
      </c>
      <c r="L62" s="28" t="s">
        <v>34</v>
      </c>
      <c r="M62" s="28"/>
      <c r="N62" s="53"/>
      <c r="O62" s="54"/>
      <c r="P62" s="55"/>
      <c r="Q62" s="32">
        <v>0.56999999999999995</v>
      </c>
      <c r="R62" s="36"/>
    </row>
    <row r="63" spans="3:18" x14ac:dyDescent="0.35">
      <c r="E63" s="27"/>
      <c r="F63" s="27" t="s">
        <v>159</v>
      </c>
      <c r="G63" s="28" t="s">
        <v>152</v>
      </c>
      <c r="H63" s="28" t="s">
        <v>152</v>
      </c>
      <c r="I63" s="28" t="s">
        <v>140</v>
      </c>
      <c r="J63" s="28"/>
      <c r="K63" s="28" t="s">
        <v>207</v>
      </c>
      <c r="L63" s="28" t="s">
        <v>34</v>
      </c>
      <c r="M63" s="28"/>
      <c r="N63" s="53"/>
      <c r="O63" s="54"/>
      <c r="P63" s="55"/>
      <c r="Q63" s="32">
        <v>0.56999999999999995</v>
      </c>
      <c r="R63" s="28"/>
    </row>
    <row r="64" spans="3:18" x14ac:dyDescent="0.35">
      <c r="E64" s="27"/>
      <c r="F64" s="27" t="s">
        <v>160</v>
      </c>
      <c r="G64" s="28" t="s">
        <v>151</v>
      </c>
      <c r="H64" s="28" t="s">
        <v>151</v>
      </c>
      <c r="I64" s="35" t="s">
        <v>553</v>
      </c>
      <c r="J64" s="35"/>
      <c r="K64" s="35" t="s">
        <v>161</v>
      </c>
      <c r="L64" s="35" t="s">
        <v>9</v>
      </c>
      <c r="M64" s="28"/>
      <c r="N64" s="53"/>
      <c r="O64" s="54"/>
      <c r="P64" s="55"/>
      <c r="Q64" s="32"/>
      <c r="R64" s="28"/>
    </row>
    <row r="65" spans="1:17" x14ac:dyDescent="0.35">
      <c r="N65" s="51"/>
      <c r="O65" s="38"/>
      <c r="P65" s="52"/>
    </row>
    <row r="66" spans="1:17" x14ac:dyDescent="0.35">
      <c r="E66" s="17" t="s">
        <v>5</v>
      </c>
      <c r="F66" s="17" t="s">
        <v>153</v>
      </c>
      <c r="G66" s="9" t="s">
        <v>151</v>
      </c>
      <c r="H66" s="9" t="s">
        <v>6</v>
      </c>
      <c r="I66" s="9" t="s">
        <v>140</v>
      </c>
      <c r="J66" s="9" t="s">
        <v>760</v>
      </c>
      <c r="K66" s="9" t="s">
        <v>209</v>
      </c>
      <c r="L66" s="9" t="s">
        <v>210</v>
      </c>
      <c r="N66" s="45">
        <v>110</v>
      </c>
      <c r="O66" s="46">
        <v>3850</v>
      </c>
      <c r="P66" s="47">
        <v>26</v>
      </c>
      <c r="Q66" s="23">
        <v>0.56999999999999995</v>
      </c>
    </row>
    <row r="67" spans="1:17" x14ac:dyDescent="0.35">
      <c r="E67" s="17"/>
      <c r="F67" s="17" t="s">
        <v>156</v>
      </c>
      <c r="G67" s="9" t="s">
        <v>151</v>
      </c>
      <c r="H67" s="9" t="s">
        <v>6</v>
      </c>
      <c r="I67" s="9" t="s">
        <v>190</v>
      </c>
      <c r="J67" s="9" t="s">
        <v>208</v>
      </c>
      <c r="K67" s="9" t="s">
        <v>211</v>
      </c>
      <c r="L67" s="9" t="s">
        <v>35</v>
      </c>
      <c r="N67" s="45">
        <v>94</v>
      </c>
      <c r="O67" s="46">
        <v>4070</v>
      </c>
      <c r="P67" s="47">
        <v>47</v>
      </c>
      <c r="Q67" s="23">
        <v>0.56999999999999995</v>
      </c>
    </row>
    <row r="68" spans="1:17" x14ac:dyDescent="0.35">
      <c r="E68" s="17"/>
      <c r="F68" s="17" t="s">
        <v>157</v>
      </c>
      <c r="G68" s="9" t="s">
        <v>165</v>
      </c>
      <c r="H68" s="9" t="s">
        <v>24</v>
      </c>
      <c r="I68" s="9" t="s">
        <v>166</v>
      </c>
      <c r="J68" s="9" t="s">
        <v>813</v>
      </c>
      <c r="K68" s="9" t="s">
        <v>18</v>
      </c>
      <c r="L68" s="9" t="s">
        <v>814</v>
      </c>
      <c r="N68" s="45">
        <f>36*0.9</f>
        <v>32.4</v>
      </c>
      <c r="O68" s="46">
        <f>18*239*0.9</f>
        <v>3871.8</v>
      </c>
      <c r="P68" s="47">
        <f>15*0.91</f>
        <v>13.65</v>
      </c>
      <c r="Q68" s="23">
        <v>0.1</v>
      </c>
    </row>
    <row r="69" spans="1:17" x14ac:dyDescent="0.35">
      <c r="E69" s="17"/>
      <c r="F69" s="17"/>
      <c r="G69" s="9"/>
      <c r="H69" s="9"/>
      <c r="I69" s="9"/>
      <c r="J69" s="9"/>
      <c r="K69" s="9"/>
      <c r="L69" s="9"/>
      <c r="N69" s="71"/>
      <c r="O69" s="72"/>
      <c r="P69" s="73"/>
    </row>
    <row r="70" spans="1:17" x14ac:dyDescent="0.35">
      <c r="E70" s="24" t="s">
        <v>163</v>
      </c>
      <c r="F70" s="24" t="s">
        <v>148</v>
      </c>
      <c r="G70" s="25" t="s">
        <v>152</v>
      </c>
      <c r="H70" s="25" t="s">
        <v>152</v>
      </c>
      <c r="I70" s="25" t="s">
        <v>140</v>
      </c>
      <c r="J70" s="25"/>
      <c r="K70" s="25" t="s">
        <v>214</v>
      </c>
      <c r="L70" s="25" t="s">
        <v>238</v>
      </c>
      <c r="N70" s="71"/>
      <c r="O70" s="72"/>
      <c r="P70" s="73"/>
      <c r="Q70" s="33">
        <v>0.56999999999999995</v>
      </c>
    </row>
    <row r="71" spans="1:17" x14ac:dyDescent="0.35">
      <c r="E71" s="24"/>
      <c r="F71" s="24" t="s">
        <v>147</v>
      </c>
      <c r="G71" s="25" t="s">
        <v>151</v>
      </c>
      <c r="H71" s="25" t="s">
        <v>151</v>
      </c>
      <c r="I71" s="25" t="s">
        <v>140</v>
      </c>
      <c r="J71" s="25"/>
      <c r="K71" s="25" t="s">
        <v>215</v>
      </c>
      <c r="L71" s="25" t="s">
        <v>239</v>
      </c>
      <c r="N71" s="71"/>
      <c r="O71" s="72"/>
      <c r="P71" s="73"/>
      <c r="Q71" s="33">
        <v>0.56999999999999995</v>
      </c>
    </row>
    <row r="72" spans="1:17" x14ac:dyDescent="0.35">
      <c r="E72" s="24"/>
      <c r="F72" s="24" t="s">
        <v>164</v>
      </c>
      <c r="G72" s="25" t="s">
        <v>165</v>
      </c>
      <c r="H72" s="25" t="s">
        <v>24</v>
      </c>
      <c r="I72" s="25" t="s">
        <v>166</v>
      </c>
      <c r="J72" s="25" t="s">
        <v>813</v>
      </c>
      <c r="K72" s="25" t="s">
        <v>18</v>
      </c>
      <c r="L72" s="25" t="s">
        <v>814</v>
      </c>
      <c r="N72" s="48">
        <f>36*0.9</f>
        <v>32.4</v>
      </c>
      <c r="O72" s="49">
        <f>18*239*0.9</f>
        <v>3871.8</v>
      </c>
      <c r="P72" s="50">
        <f>15*0.91</f>
        <v>13.65</v>
      </c>
      <c r="Q72" s="33">
        <v>0.1</v>
      </c>
    </row>
    <row r="73" spans="1:17" x14ac:dyDescent="0.35">
      <c r="E73" s="24"/>
      <c r="F73" s="24"/>
      <c r="G73" s="25"/>
      <c r="H73" s="25"/>
      <c r="I73" s="25"/>
      <c r="J73" s="25"/>
      <c r="K73" s="25"/>
      <c r="L73" s="25"/>
      <c r="N73" s="51"/>
      <c r="O73" s="38"/>
      <c r="P73" s="52"/>
      <c r="Q73" s="33"/>
    </row>
    <row r="74" spans="1:17" x14ac:dyDescent="0.35">
      <c r="C74" s="15" t="s">
        <v>36</v>
      </c>
      <c r="E74" s="27" t="s">
        <v>7</v>
      </c>
      <c r="F74" s="27" t="s">
        <v>158</v>
      </c>
      <c r="G74" s="28" t="s">
        <v>151</v>
      </c>
      <c r="H74" s="28" t="s">
        <v>151</v>
      </c>
      <c r="I74" s="28" t="s">
        <v>139</v>
      </c>
      <c r="J74" s="28"/>
      <c r="K74" s="28" t="s">
        <v>216</v>
      </c>
      <c r="L74" s="28" t="s">
        <v>36</v>
      </c>
      <c r="M74" s="28"/>
      <c r="N74" s="53"/>
      <c r="O74" s="54"/>
      <c r="P74" s="55"/>
      <c r="Q74" s="32">
        <v>0.47</v>
      </c>
    </row>
    <row r="75" spans="1:17" x14ac:dyDescent="0.35">
      <c r="E75" s="27"/>
      <c r="F75" s="27" t="s">
        <v>159</v>
      </c>
      <c r="G75" s="28" t="s">
        <v>152</v>
      </c>
      <c r="H75" s="28" t="s">
        <v>152</v>
      </c>
      <c r="I75" s="28" t="s">
        <v>244</v>
      </c>
      <c r="J75" s="28"/>
      <c r="K75" s="28" t="s">
        <v>217</v>
      </c>
      <c r="L75" s="28" t="s">
        <v>36</v>
      </c>
      <c r="M75" s="28"/>
      <c r="N75" s="53"/>
      <c r="O75" s="54"/>
      <c r="P75" s="55"/>
      <c r="Q75" s="32">
        <v>0.47</v>
      </c>
    </row>
    <row r="76" spans="1:17" x14ac:dyDescent="0.35">
      <c r="E76" s="27"/>
      <c r="F76" s="27" t="s">
        <v>160</v>
      </c>
      <c r="G76" s="28" t="s">
        <v>151</v>
      </c>
      <c r="H76" s="28" t="s">
        <v>151</v>
      </c>
      <c r="I76" s="35" t="s">
        <v>553</v>
      </c>
      <c r="J76" s="35"/>
      <c r="K76" s="35" t="s">
        <v>218</v>
      </c>
      <c r="L76" s="35" t="s">
        <v>102</v>
      </c>
      <c r="M76" s="28"/>
      <c r="N76" s="53"/>
      <c r="O76" s="54"/>
      <c r="P76" s="55"/>
      <c r="Q76" s="32"/>
    </row>
    <row r="77" spans="1:17" x14ac:dyDescent="0.35">
      <c r="N77" s="51"/>
      <c r="O77" s="38"/>
      <c r="P77" s="52"/>
    </row>
    <row r="78" spans="1:17" x14ac:dyDescent="0.35">
      <c r="A78" s="2"/>
      <c r="E78" s="17" t="s">
        <v>5</v>
      </c>
      <c r="F78" s="17" t="s">
        <v>16</v>
      </c>
      <c r="G78" s="9" t="s">
        <v>151</v>
      </c>
      <c r="H78" s="9" t="s">
        <v>6</v>
      </c>
      <c r="I78" s="9" t="s">
        <v>227</v>
      </c>
      <c r="J78" s="9" t="s">
        <v>228</v>
      </c>
      <c r="K78" s="9" t="s">
        <v>97</v>
      </c>
      <c r="L78" s="9" t="s">
        <v>226</v>
      </c>
      <c r="N78" s="45">
        <v>81</v>
      </c>
      <c r="O78" s="46">
        <v>3770</v>
      </c>
      <c r="P78" s="47">
        <v>11</v>
      </c>
      <c r="Q78" s="23">
        <v>0.47</v>
      </c>
    </row>
    <row r="79" spans="1:17" x14ac:dyDescent="0.35">
      <c r="A79" s="2"/>
      <c r="E79" s="24"/>
      <c r="F79" s="17" t="s">
        <v>15</v>
      </c>
      <c r="G79" s="9" t="s">
        <v>151</v>
      </c>
      <c r="H79" s="9" t="s">
        <v>6</v>
      </c>
      <c r="I79" s="9" t="s">
        <v>227</v>
      </c>
      <c r="J79" s="9" t="s">
        <v>761</v>
      </c>
      <c r="K79" s="9" t="s">
        <v>37</v>
      </c>
      <c r="L79" s="9" t="s">
        <v>229</v>
      </c>
      <c r="N79" s="45">
        <v>138</v>
      </c>
      <c r="O79" s="46">
        <v>4680</v>
      </c>
      <c r="P79" s="47">
        <v>166</v>
      </c>
      <c r="Q79" s="23">
        <v>0.47</v>
      </c>
    </row>
    <row r="80" spans="1:17" x14ac:dyDescent="0.35">
      <c r="A80" s="2"/>
      <c r="E80" s="24"/>
      <c r="F80" s="17" t="s">
        <v>26</v>
      </c>
      <c r="G80" s="9" t="s">
        <v>151</v>
      </c>
      <c r="H80" s="9" t="s">
        <v>6</v>
      </c>
      <c r="I80" s="9" t="s">
        <v>516</v>
      </c>
      <c r="J80" s="9" t="s">
        <v>224</v>
      </c>
      <c r="K80" s="9" t="s">
        <v>18</v>
      </c>
      <c r="L80" s="9" t="s">
        <v>221</v>
      </c>
      <c r="N80" s="45">
        <v>34</v>
      </c>
      <c r="O80" s="46">
        <v>3560</v>
      </c>
      <c r="P80" s="47">
        <v>15</v>
      </c>
      <c r="Q80" s="23">
        <v>0.47</v>
      </c>
    </row>
    <row r="81" spans="1:17" x14ac:dyDescent="0.35">
      <c r="A81" s="2"/>
      <c r="E81" s="24"/>
      <c r="F81" s="17" t="s">
        <v>38</v>
      </c>
      <c r="G81" s="2" t="s">
        <v>168</v>
      </c>
      <c r="H81" s="2" t="s">
        <v>168</v>
      </c>
      <c r="I81" s="2" t="s">
        <v>168</v>
      </c>
      <c r="J81" s="9" t="s">
        <v>219</v>
      </c>
      <c r="K81" s="9" t="s">
        <v>45</v>
      </c>
      <c r="L81" s="9" t="s">
        <v>220</v>
      </c>
      <c r="N81" s="51"/>
      <c r="O81" s="38"/>
      <c r="P81" s="52"/>
      <c r="Q81" s="23">
        <v>0.47</v>
      </c>
    </row>
    <row r="82" spans="1:17" x14ac:dyDescent="0.35">
      <c r="E82" s="24"/>
      <c r="F82" s="17" t="s">
        <v>5</v>
      </c>
      <c r="G82" s="9" t="s">
        <v>151</v>
      </c>
      <c r="H82" s="9" t="s">
        <v>6</v>
      </c>
      <c r="I82" s="9" t="s">
        <v>190</v>
      </c>
      <c r="J82" s="9" t="s">
        <v>223</v>
      </c>
      <c r="K82" s="9" t="s">
        <v>222</v>
      </c>
      <c r="L82" s="9" t="s">
        <v>222</v>
      </c>
      <c r="M82" s="9"/>
      <c r="N82" s="45">
        <v>75</v>
      </c>
      <c r="O82" s="46">
        <v>3730</v>
      </c>
      <c r="P82" s="47">
        <v>22</v>
      </c>
      <c r="Q82" s="23">
        <v>0.47</v>
      </c>
    </row>
    <row r="83" spans="1:17" x14ac:dyDescent="0.35">
      <c r="E83" s="24"/>
      <c r="F83" s="17" t="s">
        <v>17</v>
      </c>
      <c r="G83" s="9" t="s">
        <v>165</v>
      </c>
      <c r="H83" s="9" t="s">
        <v>24</v>
      </c>
      <c r="I83" s="9" t="s">
        <v>166</v>
      </c>
      <c r="J83" s="9" t="s">
        <v>39</v>
      </c>
      <c r="K83" s="9" t="s">
        <v>18</v>
      </c>
      <c r="L83" s="9" t="s">
        <v>225</v>
      </c>
      <c r="M83" s="9"/>
      <c r="N83" s="45">
        <f>42*0.92</f>
        <v>38.64</v>
      </c>
      <c r="O83" s="46">
        <f>15.5*239*0.92</f>
        <v>3408.1400000000003</v>
      </c>
      <c r="P83" s="47">
        <v>13</v>
      </c>
      <c r="Q83" s="23">
        <v>0.1</v>
      </c>
    </row>
    <row r="84" spans="1:17" x14ac:dyDescent="0.35">
      <c r="E84" s="24"/>
      <c r="F84" s="24"/>
      <c r="G84" s="25"/>
      <c r="H84" s="25"/>
      <c r="I84" s="25"/>
      <c r="J84" s="25"/>
      <c r="K84" s="25"/>
      <c r="L84" s="25"/>
      <c r="N84" s="51"/>
      <c r="O84" s="38"/>
      <c r="P84" s="52"/>
      <c r="Q84" s="33"/>
    </row>
    <row r="85" spans="1:17" x14ac:dyDescent="0.35">
      <c r="E85" s="24" t="s">
        <v>163</v>
      </c>
      <c r="F85" s="24" t="s">
        <v>148</v>
      </c>
      <c r="G85" s="25" t="s">
        <v>152</v>
      </c>
      <c r="H85" s="25" t="s">
        <v>152</v>
      </c>
      <c r="I85" s="25" t="s">
        <v>140</v>
      </c>
      <c r="J85" s="25"/>
      <c r="K85" s="25" t="s">
        <v>230</v>
      </c>
      <c r="L85" s="25" t="s">
        <v>237</v>
      </c>
      <c r="N85" s="51"/>
      <c r="O85" s="38"/>
      <c r="P85" s="52"/>
      <c r="Q85" s="33">
        <v>0.47</v>
      </c>
    </row>
    <row r="86" spans="1:17" x14ac:dyDescent="0.35">
      <c r="E86" s="24"/>
      <c r="F86" s="24" t="s">
        <v>147</v>
      </c>
      <c r="G86" s="25" t="s">
        <v>151</v>
      </c>
      <c r="H86" s="25" t="s">
        <v>151</v>
      </c>
      <c r="I86" s="25" t="s">
        <v>140</v>
      </c>
      <c r="J86" s="25"/>
      <c r="K86" s="25" t="s">
        <v>231</v>
      </c>
      <c r="L86" s="25" t="s">
        <v>236</v>
      </c>
      <c r="N86" s="51"/>
      <c r="O86" s="38"/>
      <c r="P86" s="52"/>
      <c r="Q86" s="33">
        <v>0.47</v>
      </c>
    </row>
    <row r="87" spans="1:17" x14ac:dyDescent="0.35">
      <c r="E87" s="24"/>
      <c r="F87" s="24" t="s">
        <v>164</v>
      </c>
      <c r="G87" s="25" t="s">
        <v>165</v>
      </c>
      <c r="H87" s="25" t="s">
        <v>24</v>
      </c>
      <c r="I87" s="25" t="s">
        <v>166</v>
      </c>
      <c r="J87" s="25" t="s">
        <v>39</v>
      </c>
      <c r="K87" s="25" t="s">
        <v>18</v>
      </c>
      <c r="L87" s="25" t="s">
        <v>39</v>
      </c>
      <c r="N87" s="48">
        <f>42*0.92</f>
        <v>38.64</v>
      </c>
      <c r="O87" s="49">
        <f>15.5*239*0.92</f>
        <v>3408.1400000000003</v>
      </c>
      <c r="P87" s="50">
        <v>13</v>
      </c>
      <c r="Q87" s="33">
        <v>0.1</v>
      </c>
    </row>
    <row r="88" spans="1:17" x14ac:dyDescent="0.35">
      <c r="N88" s="51"/>
      <c r="O88" s="38"/>
      <c r="P88" s="52"/>
    </row>
    <row r="89" spans="1:17" x14ac:dyDescent="0.35">
      <c r="C89" s="15" t="s">
        <v>40</v>
      </c>
      <c r="E89" s="27" t="s">
        <v>7</v>
      </c>
      <c r="F89" s="27" t="s">
        <v>158</v>
      </c>
      <c r="G89" s="28" t="s">
        <v>151</v>
      </c>
      <c r="H89" s="28" t="s">
        <v>151</v>
      </c>
      <c r="I89" s="28" t="s">
        <v>139</v>
      </c>
      <c r="J89" s="28"/>
      <c r="K89" s="28" t="s">
        <v>245</v>
      </c>
      <c r="L89" s="28" t="s">
        <v>40</v>
      </c>
      <c r="M89" s="28"/>
      <c r="N89" s="53"/>
      <c r="O89" s="54"/>
      <c r="P89" s="55"/>
      <c r="Q89" s="32">
        <v>0.48</v>
      </c>
    </row>
    <row r="90" spans="1:17" x14ac:dyDescent="0.35">
      <c r="E90" s="27"/>
      <c r="F90" s="27" t="s">
        <v>159</v>
      </c>
      <c r="G90" s="28" t="s">
        <v>152</v>
      </c>
      <c r="H90" s="28" t="s">
        <v>152</v>
      </c>
      <c r="I90" s="28" t="s">
        <v>140</v>
      </c>
      <c r="J90" s="28"/>
      <c r="K90" s="28" t="s">
        <v>246</v>
      </c>
      <c r="L90" s="28" t="s">
        <v>40</v>
      </c>
      <c r="M90" s="28"/>
      <c r="N90" s="53"/>
      <c r="O90" s="54"/>
      <c r="P90" s="55"/>
      <c r="Q90" s="32">
        <v>0.48</v>
      </c>
    </row>
    <row r="91" spans="1:17" x14ac:dyDescent="0.35">
      <c r="E91" s="27"/>
      <c r="F91" s="27" t="s">
        <v>160</v>
      </c>
      <c r="G91" s="28" t="s">
        <v>151</v>
      </c>
      <c r="H91" s="28" t="s">
        <v>151</v>
      </c>
      <c r="I91" s="35" t="s">
        <v>553</v>
      </c>
      <c r="J91" s="35"/>
      <c r="K91" s="35" t="s">
        <v>245</v>
      </c>
      <c r="L91" s="35" t="s">
        <v>9</v>
      </c>
      <c r="M91" s="28"/>
      <c r="N91" s="53"/>
      <c r="O91" s="54"/>
      <c r="P91" s="55"/>
      <c r="Q91" s="32"/>
    </row>
    <row r="92" spans="1:17" x14ac:dyDescent="0.35">
      <c r="N92" s="51"/>
      <c r="O92" s="38"/>
      <c r="P92" s="52"/>
    </row>
    <row r="93" spans="1:17" x14ac:dyDescent="0.35">
      <c r="E93" s="17" t="s">
        <v>5</v>
      </c>
      <c r="F93" s="17" t="s">
        <v>153</v>
      </c>
      <c r="G93" s="9" t="s">
        <v>151</v>
      </c>
      <c r="H93" s="9" t="s">
        <v>24</v>
      </c>
      <c r="I93" s="9" t="s">
        <v>140</v>
      </c>
      <c r="J93" s="9" t="s">
        <v>41</v>
      </c>
      <c r="K93" s="9" t="s">
        <v>247</v>
      </c>
      <c r="L93" s="9" t="s">
        <v>248</v>
      </c>
      <c r="N93" s="45">
        <f>169*0.88</f>
        <v>148.72</v>
      </c>
      <c r="O93" s="46">
        <f>18.5*239*0.88</f>
        <v>3890.92</v>
      </c>
      <c r="P93" s="47">
        <v>39</v>
      </c>
      <c r="Q93" s="23">
        <v>0.48</v>
      </c>
    </row>
    <row r="94" spans="1:17" x14ac:dyDescent="0.35">
      <c r="E94" s="17"/>
      <c r="F94" s="17" t="s">
        <v>156</v>
      </c>
      <c r="G94" s="9" t="s">
        <v>151</v>
      </c>
      <c r="H94" s="9" t="s">
        <v>6</v>
      </c>
      <c r="I94" s="9" t="s">
        <v>190</v>
      </c>
      <c r="J94" s="9" t="s">
        <v>42</v>
      </c>
      <c r="K94" s="9" t="s">
        <v>249</v>
      </c>
      <c r="L94" s="9" t="s">
        <v>43</v>
      </c>
      <c r="N94" s="45">
        <v>85</v>
      </c>
      <c r="O94" s="46">
        <v>3720</v>
      </c>
      <c r="P94" s="47">
        <v>12</v>
      </c>
      <c r="Q94" s="23">
        <v>0.48</v>
      </c>
    </row>
    <row r="95" spans="1:17" x14ac:dyDescent="0.35">
      <c r="E95" s="17"/>
      <c r="F95" s="17" t="s">
        <v>157</v>
      </c>
      <c r="G95" s="9" t="s">
        <v>165</v>
      </c>
      <c r="H95" s="9" t="s">
        <v>24</v>
      </c>
      <c r="I95" s="9" t="s">
        <v>166</v>
      </c>
      <c r="J95" s="9" t="s">
        <v>811</v>
      </c>
      <c r="K95" s="9" t="s">
        <v>18</v>
      </c>
      <c r="L95" s="9" t="s">
        <v>810</v>
      </c>
      <c r="N95" s="45">
        <f>41*0.92</f>
        <v>37.72</v>
      </c>
      <c r="O95" s="46">
        <f>18.3*239*0.92</f>
        <v>4023.8040000000001</v>
      </c>
      <c r="P95" s="47">
        <f>15*0.91</f>
        <v>13.65</v>
      </c>
      <c r="Q95" s="23">
        <v>0.1</v>
      </c>
    </row>
    <row r="96" spans="1:17" x14ac:dyDescent="0.35">
      <c r="E96" s="17"/>
      <c r="F96" s="17"/>
      <c r="G96" s="9"/>
      <c r="H96" s="9"/>
      <c r="I96" s="9"/>
      <c r="J96" s="9"/>
      <c r="K96" s="9"/>
      <c r="L96" s="9"/>
      <c r="N96" s="71"/>
      <c r="O96" s="72"/>
      <c r="P96" s="47"/>
    </row>
    <row r="97" spans="3:18" x14ac:dyDescent="0.35">
      <c r="E97" s="24" t="s">
        <v>163</v>
      </c>
      <c r="F97" s="24" t="s">
        <v>148</v>
      </c>
      <c r="G97" s="25" t="s">
        <v>152</v>
      </c>
      <c r="H97" s="25" t="s">
        <v>152</v>
      </c>
      <c r="I97" s="25" t="s">
        <v>140</v>
      </c>
      <c r="J97" s="25"/>
      <c r="K97" s="25" t="s">
        <v>250</v>
      </c>
      <c r="L97" s="25" t="s">
        <v>251</v>
      </c>
      <c r="N97" s="71"/>
      <c r="O97" s="72"/>
      <c r="P97" s="47"/>
      <c r="Q97" s="33">
        <v>0.48</v>
      </c>
    </row>
    <row r="98" spans="3:18" x14ac:dyDescent="0.35">
      <c r="E98" s="24"/>
      <c r="F98" s="24" t="s">
        <v>147</v>
      </c>
      <c r="G98" s="25" t="s">
        <v>151</v>
      </c>
      <c r="H98" s="25" t="s">
        <v>151</v>
      </c>
      <c r="I98" s="25" t="s">
        <v>140</v>
      </c>
      <c r="J98" s="25"/>
      <c r="K98" s="25" t="s">
        <v>252</v>
      </c>
      <c r="L98" s="25" t="s">
        <v>253</v>
      </c>
      <c r="N98" s="71"/>
      <c r="O98" s="72"/>
      <c r="P98" s="47"/>
      <c r="Q98" s="33">
        <v>0.48</v>
      </c>
    </row>
    <row r="99" spans="3:18" x14ac:dyDescent="0.35">
      <c r="E99" s="24"/>
      <c r="F99" s="24" t="s">
        <v>164</v>
      </c>
      <c r="G99" s="25" t="s">
        <v>165</v>
      </c>
      <c r="H99" s="25" t="s">
        <v>24</v>
      </c>
      <c r="I99" s="25" t="s">
        <v>166</v>
      </c>
      <c r="J99" s="25" t="s">
        <v>811</v>
      </c>
      <c r="K99" s="25" t="s">
        <v>18</v>
      </c>
      <c r="L99" s="25" t="s">
        <v>810</v>
      </c>
      <c r="N99" s="45">
        <f>41*0.92</f>
        <v>37.72</v>
      </c>
      <c r="O99" s="46">
        <f>18.3*239*0.92</f>
        <v>4023.8040000000001</v>
      </c>
      <c r="P99" s="47">
        <f>15*0.91</f>
        <v>13.65</v>
      </c>
      <c r="Q99" s="33">
        <v>0.1</v>
      </c>
    </row>
    <row r="100" spans="3:18" x14ac:dyDescent="0.35">
      <c r="N100" s="51"/>
      <c r="O100" s="38"/>
      <c r="P100" s="52"/>
    </row>
    <row r="101" spans="3:18" x14ac:dyDescent="0.35">
      <c r="C101" s="15" t="s">
        <v>44</v>
      </c>
      <c r="E101" s="27" t="s">
        <v>7</v>
      </c>
      <c r="F101" s="27" t="s">
        <v>158</v>
      </c>
      <c r="G101" s="28" t="s">
        <v>151</v>
      </c>
      <c r="H101" s="28" t="s">
        <v>151</v>
      </c>
      <c r="I101" s="28" t="s">
        <v>139</v>
      </c>
      <c r="J101" s="28"/>
      <c r="K101" s="28" t="s">
        <v>254</v>
      </c>
      <c r="L101" s="28" t="s">
        <v>44</v>
      </c>
      <c r="M101" s="28"/>
      <c r="N101" s="53"/>
      <c r="O101" s="54"/>
      <c r="P101" s="55"/>
      <c r="Q101" s="32">
        <v>0.36</v>
      </c>
      <c r="R101" s="36" t="s">
        <v>260</v>
      </c>
    </row>
    <row r="102" spans="3:18" x14ac:dyDescent="0.35">
      <c r="E102" s="27"/>
      <c r="F102" s="27" t="s">
        <v>159</v>
      </c>
      <c r="G102" s="28" t="s">
        <v>152</v>
      </c>
      <c r="H102" s="28" t="s">
        <v>152</v>
      </c>
      <c r="I102" s="28" t="s">
        <v>140</v>
      </c>
      <c r="J102" s="28"/>
      <c r="K102" s="28" t="s">
        <v>762</v>
      </c>
      <c r="L102" s="28" t="s">
        <v>44</v>
      </c>
      <c r="M102" s="28"/>
      <c r="N102" s="53"/>
      <c r="O102" s="54"/>
      <c r="P102" s="55"/>
      <c r="Q102" s="32">
        <v>0.36</v>
      </c>
    </row>
    <row r="103" spans="3:18" x14ac:dyDescent="0.35">
      <c r="E103" s="27"/>
      <c r="F103" s="27" t="s">
        <v>160</v>
      </c>
      <c r="G103" s="28" t="s">
        <v>151</v>
      </c>
      <c r="H103" s="28" t="s">
        <v>151</v>
      </c>
      <c r="I103" s="35" t="s">
        <v>553</v>
      </c>
      <c r="J103" s="35"/>
      <c r="K103" s="35" t="s">
        <v>254</v>
      </c>
      <c r="L103" s="35" t="s">
        <v>9</v>
      </c>
      <c r="M103" s="28"/>
      <c r="N103" s="53"/>
      <c r="O103" s="54"/>
      <c r="P103" s="55"/>
      <c r="Q103" s="32"/>
    </row>
    <row r="104" spans="3:18" x14ac:dyDescent="0.35">
      <c r="N104" s="51"/>
      <c r="O104" s="38"/>
      <c r="P104" s="52"/>
    </row>
    <row r="105" spans="3:18" x14ac:dyDescent="0.35">
      <c r="E105" s="17" t="s">
        <v>5</v>
      </c>
      <c r="F105" s="17" t="s">
        <v>153</v>
      </c>
      <c r="G105" s="9" t="s">
        <v>151</v>
      </c>
      <c r="H105" s="9" t="s">
        <v>24</v>
      </c>
      <c r="I105" s="9" t="s">
        <v>140</v>
      </c>
      <c r="J105" s="9" t="s">
        <v>804</v>
      </c>
      <c r="K105" s="9" t="s">
        <v>805</v>
      </c>
      <c r="L105" s="9" t="s">
        <v>806</v>
      </c>
      <c r="N105" s="45">
        <f>111*0.89</f>
        <v>98.79</v>
      </c>
      <c r="O105" s="46">
        <f>18.8*239*0.89</f>
        <v>3998.9479999999999</v>
      </c>
      <c r="P105" s="47">
        <f>62*0.89</f>
        <v>55.18</v>
      </c>
      <c r="Q105" s="23">
        <v>0.48</v>
      </c>
    </row>
    <row r="106" spans="3:18" x14ac:dyDescent="0.35">
      <c r="F106" s="17" t="s">
        <v>156</v>
      </c>
      <c r="G106" s="9" t="s">
        <v>151</v>
      </c>
      <c r="H106" s="9" t="s">
        <v>6</v>
      </c>
      <c r="I106" s="9" t="s">
        <v>190</v>
      </c>
      <c r="J106" s="9" t="s">
        <v>44</v>
      </c>
      <c r="K106" s="9" t="s">
        <v>255</v>
      </c>
      <c r="L106" s="9" t="s">
        <v>49</v>
      </c>
      <c r="N106" s="45">
        <v>93</v>
      </c>
      <c r="O106" s="46">
        <v>3930</v>
      </c>
      <c r="P106" s="47">
        <v>29</v>
      </c>
      <c r="Q106" s="23">
        <v>0.36</v>
      </c>
    </row>
    <row r="107" spans="3:18" x14ac:dyDescent="0.35">
      <c r="E107" s="17"/>
      <c r="F107" s="17" t="s">
        <v>157</v>
      </c>
      <c r="G107" s="9" t="s">
        <v>165</v>
      </c>
      <c r="H107" s="9" t="s">
        <v>758</v>
      </c>
      <c r="I107" s="9" t="s">
        <v>166</v>
      </c>
      <c r="J107" s="9" t="s">
        <v>25</v>
      </c>
      <c r="K107" s="9" t="s">
        <v>18</v>
      </c>
      <c r="L107" s="9" t="s">
        <v>759</v>
      </c>
      <c r="N107" s="45">
        <f>68/3</f>
        <v>22.666666666666668</v>
      </c>
      <c r="O107" s="46">
        <f>18.2*239/3</f>
        <v>1449.9333333333334</v>
      </c>
      <c r="P107" s="47">
        <f>18/3</f>
        <v>6</v>
      </c>
      <c r="Q107" s="23">
        <v>0.1</v>
      </c>
    </row>
    <row r="108" spans="3:18" x14ac:dyDescent="0.35">
      <c r="E108" s="17"/>
      <c r="F108" s="17"/>
      <c r="G108" s="9"/>
      <c r="H108" s="9"/>
      <c r="I108" s="9"/>
      <c r="J108" s="9"/>
      <c r="K108" s="9"/>
      <c r="L108" s="9"/>
      <c r="N108" s="51"/>
      <c r="O108" s="38"/>
      <c r="P108" s="73"/>
    </row>
    <row r="109" spans="3:18" x14ac:dyDescent="0.35">
      <c r="E109" s="24" t="s">
        <v>163</v>
      </c>
      <c r="F109" s="24" t="s">
        <v>148</v>
      </c>
      <c r="G109" s="25" t="s">
        <v>152</v>
      </c>
      <c r="H109" s="25" t="s">
        <v>152</v>
      </c>
      <c r="I109" s="25" t="s">
        <v>140</v>
      </c>
      <c r="J109" s="25"/>
      <c r="K109" s="25" t="s">
        <v>256</v>
      </c>
      <c r="L109" s="25" t="s">
        <v>257</v>
      </c>
      <c r="N109" s="51"/>
      <c r="O109" s="38"/>
      <c r="P109" s="73"/>
      <c r="Q109" s="33">
        <v>0.36</v>
      </c>
    </row>
    <row r="110" spans="3:18" x14ac:dyDescent="0.35">
      <c r="E110" s="24"/>
      <c r="F110" s="24" t="s">
        <v>147</v>
      </c>
      <c r="G110" s="25" t="s">
        <v>151</v>
      </c>
      <c r="H110" s="25" t="s">
        <v>151</v>
      </c>
      <c r="I110" s="25" t="s">
        <v>140</v>
      </c>
      <c r="J110" s="25"/>
      <c r="K110" s="25" t="s">
        <v>258</v>
      </c>
      <c r="L110" s="25" t="s">
        <v>259</v>
      </c>
      <c r="N110" s="51"/>
      <c r="O110" s="38"/>
      <c r="P110" s="73"/>
      <c r="Q110" s="33">
        <v>0.36</v>
      </c>
    </row>
    <row r="111" spans="3:18" x14ac:dyDescent="0.35">
      <c r="E111" s="24"/>
      <c r="F111" s="24" t="s">
        <v>164</v>
      </c>
      <c r="G111" s="25" t="s">
        <v>165</v>
      </c>
      <c r="H111" s="25" t="s">
        <v>758</v>
      </c>
      <c r="I111" s="25" t="s">
        <v>166</v>
      </c>
      <c r="J111" s="25" t="s">
        <v>25</v>
      </c>
      <c r="K111" s="25" t="s">
        <v>18</v>
      </c>
      <c r="L111" s="25" t="s">
        <v>759</v>
      </c>
      <c r="N111" s="48">
        <f>68/3</f>
        <v>22.666666666666668</v>
      </c>
      <c r="O111" s="49">
        <f>18.2*239/3</f>
        <v>1449.9333333333334</v>
      </c>
      <c r="P111" s="50">
        <f>18/3</f>
        <v>6</v>
      </c>
      <c r="Q111" s="33">
        <v>0.1</v>
      </c>
    </row>
    <row r="112" spans="3:18" x14ac:dyDescent="0.35">
      <c r="N112" s="51"/>
      <c r="O112" s="38"/>
      <c r="P112" s="52"/>
    </row>
    <row r="113" spans="2:18" x14ac:dyDescent="0.35">
      <c r="C113" s="15" t="s">
        <v>50</v>
      </c>
      <c r="E113" s="27" t="s">
        <v>7</v>
      </c>
      <c r="F113" s="27" t="s">
        <v>158</v>
      </c>
      <c r="G113" s="28" t="s">
        <v>151</v>
      </c>
      <c r="H113" s="28" t="s">
        <v>151</v>
      </c>
      <c r="I113" s="28" t="s">
        <v>139</v>
      </c>
      <c r="J113" s="28"/>
      <c r="K113" s="28" t="s">
        <v>261</v>
      </c>
      <c r="L113" s="28" t="s">
        <v>50</v>
      </c>
      <c r="M113" s="28"/>
      <c r="N113" s="53"/>
      <c r="O113" s="54"/>
      <c r="P113" s="55"/>
      <c r="Q113" s="32">
        <v>0.44</v>
      </c>
    </row>
    <row r="114" spans="2:18" x14ac:dyDescent="0.35">
      <c r="E114" s="27"/>
      <c r="F114" s="27" t="s">
        <v>159</v>
      </c>
      <c r="G114" s="28" t="s">
        <v>152</v>
      </c>
      <c r="H114" s="28" t="s">
        <v>152</v>
      </c>
      <c r="I114" s="28" t="s">
        <v>140</v>
      </c>
      <c r="J114" s="28"/>
      <c r="K114" s="28" t="s">
        <v>262</v>
      </c>
      <c r="L114" s="28" t="s">
        <v>50</v>
      </c>
      <c r="M114" s="28"/>
      <c r="N114" s="53"/>
      <c r="O114" s="54"/>
      <c r="P114" s="55"/>
      <c r="Q114" s="32">
        <v>0.44</v>
      </c>
    </row>
    <row r="115" spans="2:18" x14ac:dyDescent="0.35">
      <c r="E115" s="27"/>
      <c r="F115" s="27" t="s">
        <v>160</v>
      </c>
      <c r="G115" s="28" t="s">
        <v>151</v>
      </c>
      <c r="H115" s="28" t="s">
        <v>151</v>
      </c>
      <c r="I115" s="35" t="s">
        <v>553</v>
      </c>
      <c r="J115" s="35"/>
      <c r="K115" s="35" t="s">
        <v>261</v>
      </c>
      <c r="L115" s="35" t="s">
        <v>9</v>
      </c>
      <c r="M115" s="28"/>
      <c r="N115" s="53"/>
      <c r="O115" s="54"/>
      <c r="P115" s="55"/>
      <c r="Q115" s="32"/>
    </row>
    <row r="116" spans="2:18" x14ac:dyDescent="0.35">
      <c r="N116" s="51"/>
      <c r="O116" s="38"/>
      <c r="P116" s="52"/>
    </row>
    <row r="117" spans="2:18" x14ac:dyDescent="0.35">
      <c r="E117" s="17" t="s">
        <v>5</v>
      </c>
      <c r="F117" s="17" t="s">
        <v>153</v>
      </c>
      <c r="G117" s="9" t="s">
        <v>151</v>
      </c>
      <c r="H117" s="9" t="s">
        <v>6</v>
      </c>
      <c r="I117" s="9" t="s">
        <v>140</v>
      </c>
      <c r="J117" s="9" t="s">
        <v>763</v>
      </c>
      <c r="K117" s="9" t="s">
        <v>263</v>
      </c>
      <c r="L117" s="9" t="s">
        <v>264</v>
      </c>
      <c r="N117" s="45">
        <v>157</v>
      </c>
      <c r="O117" s="46">
        <v>4020</v>
      </c>
      <c r="P117" s="47">
        <v>39</v>
      </c>
      <c r="Q117" s="23">
        <v>0.44</v>
      </c>
    </row>
    <row r="118" spans="2:18" x14ac:dyDescent="0.35">
      <c r="E118" s="17"/>
      <c r="F118" s="17" t="s">
        <v>156</v>
      </c>
      <c r="G118" s="9" t="s">
        <v>151</v>
      </c>
      <c r="H118" s="9" t="s">
        <v>6</v>
      </c>
      <c r="I118" s="9" t="s">
        <v>190</v>
      </c>
      <c r="J118" s="9" t="s">
        <v>50</v>
      </c>
      <c r="K118" s="9" t="s">
        <v>265</v>
      </c>
      <c r="L118" s="9" t="s">
        <v>51</v>
      </c>
      <c r="N118" s="45">
        <v>110</v>
      </c>
      <c r="O118" s="46">
        <v>3780</v>
      </c>
      <c r="P118" s="47">
        <v>14</v>
      </c>
      <c r="Q118" s="23">
        <v>0.44</v>
      </c>
    </row>
    <row r="119" spans="2:18" x14ac:dyDescent="0.35">
      <c r="E119" s="17"/>
      <c r="F119" s="17" t="s">
        <v>157</v>
      </c>
      <c r="G119" s="9" t="s">
        <v>165</v>
      </c>
      <c r="H119" s="9" t="s">
        <v>6</v>
      </c>
      <c r="I119" s="9" t="s">
        <v>166</v>
      </c>
      <c r="J119" s="9" t="s">
        <v>12</v>
      </c>
      <c r="K119" s="9" t="s">
        <v>18</v>
      </c>
      <c r="L119" s="9" t="s">
        <v>173</v>
      </c>
      <c r="N119" s="45">
        <v>35</v>
      </c>
      <c r="O119" s="46">
        <v>3980</v>
      </c>
      <c r="P119" s="47">
        <v>13</v>
      </c>
      <c r="Q119" s="23">
        <v>0.1</v>
      </c>
    </row>
    <row r="120" spans="2:18" x14ac:dyDescent="0.35">
      <c r="E120" s="17"/>
      <c r="F120" s="17"/>
      <c r="G120" s="9"/>
      <c r="H120" s="9"/>
      <c r="I120" s="9"/>
      <c r="J120" s="9"/>
      <c r="K120" s="9"/>
      <c r="L120" s="9"/>
      <c r="N120" s="51"/>
      <c r="O120" s="38"/>
      <c r="P120" s="52"/>
    </row>
    <row r="121" spans="2:18" x14ac:dyDescent="0.35">
      <c r="E121" s="24" t="s">
        <v>163</v>
      </c>
      <c r="F121" s="24" t="s">
        <v>148</v>
      </c>
      <c r="G121" s="25" t="s">
        <v>152</v>
      </c>
      <c r="H121" s="25" t="s">
        <v>152</v>
      </c>
      <c r="I121" s="25" t="s">
        <v>140</v>
      </c>
      <c r="J121" s="25"/>
      <c r="K121" s="25" t="s">
        <v>266</v>
      </c>
      <c r="L121" s="25" t="s">
        <v>267</v>
      </c>
      <c r="N121" s="51"/>
      <c r="O121" s="38"/>
      <c r="P121" s="52"/>
      <c r="Q121" s="33">
        <v>0.44</v>
      </c>
    </row>
    <row r="122" spans="2:18" x14ac:dyDescent="0.35">
      <c r="E122" s="24"/>
      <c r="F122" s="24" t="s">
        <v>147</v>
      </c>
      <c r="G122" s="25" t="s">
        <v>151</v>
      </c>
      <c r="H122" s="25" t="s">
        <v>151</v>
      </c>
      <c r="I122" s="25" t="s">
        <v>140</v>
      </c>
      <c r="J122" s="25"/>
      <c r="K122" s="25" t="s">
        <v>268</v>
      </c>
      <c r="L122" s="25" t="s">
        <v>269</v>
      </c>
      <c r="N122" s="51"/>
      <c r="O122" s="38"/>
      <c r="P122" s="52"/>
      <c r="Q122" s="33">
        <v>0.44</v>
      </c>
    </row>
    <row r="123" spans="2:18" x14ac:dyDescent="0.35">
      <c r="E123" s="24"/>
      <c r="F123" s="24" t="s">
        <v>164</v>
      </c>
      <c r="G123" s="25" t="s">
        <v>165</v>
      </c>
      <c r="H123" s="25" t="s">
        <v>6</v>
      </c>
      <c r="I123" s="25" t="s">
        <v>166</v>
      </c>
      <c r="J123" s="25" t="s">
        <v>12</v>
      </c>
      <c r="K123" s="25" t="s">
        <v>18</v>
      </c>
      <c r="L123" s="25" t="s">
        <v>12</v>
      </c>
      <c r="N123" s="48">
        <v>35</v>
      </c>
      <c r="O123" s="49">
        <v>3980</v>
      </c>
      <c r="P123" s="50">
        <v>13</v>
      </c>
      <c r="Q123" s="33">
        <v>0.1</v>
      </c>
      <c r="R123" s="6"/>
    </row>
    <row r="124" spans="2:18" x14ac:dyDescent="0.35">
      <c r="N124" s="51"/>
      <c r="O124" s="38"/>
      <c r="P124" s="52"/>
    </row>
    <row r="125" spans="2:18" x14ac:dyDescent="0.35">
      <c r="B125" s="14" t="s">
        <v>52</v>
      </c>
      <c r="N125" s="51"/>
      <c r="O125" s="38"/>
      <c r="P125" s="52"/>
    </row>
    <row r="126" spans="2:18" s="28" customFormat="1" x14ac:dyDescent="0.35">
      <c r="B126" s="15"/>
      <c r="C126" s="15" t="s">
        <v>56</v>
      </c>
      <c r="D126" s="15"/>
      <c r="E126" s="27" t="s">
        <v>7</v>
      </c>
      <c r="F126" s="27" t="s">
        <v>158</v>
      </c>
      <c r="G126" s="28" t="s">
        <v>151</v>
      </c>
      <c r="H126" s="28" t="s">
        <v>151</v>
      </c>
      <c r="I126" s="28" t="s">
        <v>139</v>
      </c>
      <c r="K126" s="28" t="s">
        <v>271</v>
      </c>
      <c r="L126" s="28" t="s">
        <v>56</v>
      </c>
      <c r="N126" s="53"/>
      <c r="O126" s="54"/>
      <c r="P126" s="55"/>
      <c r="Q126" s="32"/>
    </row>
    <row r="127" spans="2:18" s="28" customFormat="1" x14ac:dyDescent="0.35">
      <c r="B127" s="15"/>
      <c r="C127" s="15"/>
      <c r="D127" s="15"/>
      <c r="E127" s="27"/>
      <c r="F127" s="27" t="s">
        <v>159</v>
      </c>
      <c r="G127" s="28" t="s">
        <v>152</v>
      </c>
      <c r="H127" s="28" t="s">
        <v>152</v>
      </c>
      <c r="I127" s="28" t="s">
        <v>140</v>
      </c>
      <c r="K127" s="28" t="s">
        <v>272</v>
      </c>
      <c r="L127" s="28" t="s">
        <v>56</v>
      </c>
      <c r="N127" s="53"/>
      <c r="O127" s="54"/>
      <c r="P127" s="55"/>
      <c r="Q127" s="32">
        <v>0.7</v>
      </c>
      <c r="R127" s="28" t="s">
        <v>279</v>
      </c>
    </row>
    <row r="128" spans="2:18" s="28" customFormat="1" x14ac:dyDescent="0.35">
      <c r="B128" s="15"/>
      <c r="C128" s="15"/>
      <c r="D128" s="15"/>
      <c r="E128" s="27"/>
      <c r="F128" s="27" t="s">
        <v>160</v>
      </c>
      <c r="G128" s="28" t="s">
        <v>151</v>
      </c>
      <c r="H128" s="28" t="s">
        <v>151</v>
      </c>
      <c r="I128" s="35" t="s">
        <v>553</v>
      </c>
      <c r="J128" s="35"/>
      <c r="K128" s="35" t="s">
        <v>114</v>
      </c>
      <c r="L128" s="35" t="s">
        <v>114</v>
      </c>
      <c r="N128" s="53"/>
      <c r="O128" s="54"/>
      <c r="P128" s="55"/>
      <c r="Q128" s="32">
        <v>0.7</v>
      </c>
      <c r="R128" s="28" t="s">
        <v>279</v>
      </c>
    </row>
    <row r="129" spans="1:19" x14ac:dyDescent="0.35">
      <c r="N129" s="51"/>
      <c r="O129" s="38"/>
      <c r="P129" s="52"/>
    </row>
    <row r="130" spans="1:19" s="9" customFormat="1" x14ac:dyDescent="0.35">
      <c r="B130" s="19"/>
      <c r="C130" s="19"/>
      <c r="D130" s="19"/>
      <c r="E130" s="17" t="s">
        <v>5</v>
      </c>
      <c r="F130" s="17" t="s">
        <v>153</v>
      </c>
      <c r="G130" s="9" t="s">
        <v>270</v>
      </c>
      <c r="H130" s="9" t="s">
        <v>6</v>
      </c>
      <c r="I130" s="9" t="s">
        <v>362</v>
      </c>
      <c r="J130" s="9" t="s">
        <v>127</v>
      </c>
      <c r="K130" s="9" t="s">
        <v>276</v>
      </c>
      <c r="L130" s="9" t="s">
        <v>273</v>
      </c>
      <c r="N130" s="45">
        <f>73/5</f>
        <v>14.6</v>
      </c>
      <c r="O130" s="46">
        <f>4180/5</f>
        <v>836</v>
      </c>
      <c r="P130" s="47">
        <f>30/5</f>
        <v>6</v>
      </c>
      <c r="Q130" s="23">
        <v>0.7</v>
      </c>
      <c r="R130" s="9" t="s">
        <v>279</v>
      </c>
    </row>
    <row r="131" spans="1:19" s="9" customFormat="1" x14ac:dyDescent="0.35">
      <c r="B131" s="19"/>
      <c r="C131" s="19"/>
      <c r="D131" s="19"/>
      <c r="E131" s="17"/>
      <c r="F131" s="17" t="s">
        <v>156</v>
      </c>
      <c r="G131" s="9" t="s">
        <v>151</v>
      </c>
      <c r="H131" s="9" t="s">
        <v>151</v>
      </c>
      <c r="I131" s="9" t="s">
        <v>190</v>
      </c>
      <c r="K131" s="9" t="s">
        <v>275</v>
      </c>
      <c r="L131" s="9" t="s">
        <v>274</v>
      </c>
      <c r="N131" s="45" t="s">
        <v>129</v>
      </c>
      <c r="O131" s="46"/>
      <c r="P131" s="47"/>
      <c r="Q131" s="23">
        <v>0.7</v>
      </c>
      <c r="R131" s="9" t="s">
        <v>279</v>
      </c>
    </row>
    <row r="132" spans="1:19" x14ac:dyDescent="0.35">
      <c r="N132" s="51"/>
      <c r="O132" s="38"/>
      <c r="P132" s="52"/>
    </row>
    <row r="133" spans="1:19" x14ac:dyDescent="0.35">
      <c r="C133" s="15" t="s">
        <v>63</v>
      </c>
      <c r="E133" s="27" t="s">
        <v>7</v>
      </c>
      <c r="F133" s="27" t="s">
        <v>158</v>
      </c>
      <c r="G133" s="28" t="s">
        <v>151</v>
      </c>
      <c r="H133" s="28" t="s">
        <v>151</v>
      </c>
      <c r="I133" s="28" t="s">
        <v>139</v>
      </c>
      <c r="J133" s="28"/>
      <c r="K133" s="28" t="s">
        <v>277</v>
      </c>
      <c r="L133" s="28" t="s">
        <v>63</v>
      </c>
      <c r="M133" s="28"/>
      <c r="N133" s="53"/>
      <c r="O133" s="38"/>
      <c r="P133" s="52"/>
      <c r="Q133" s="32">
        <v>0.7</v>
      </c>
      <c r="R133" s="28" t="s">
        <v>279</v>
      </c>
    </row>
    <row r="134" spans="1:19" x14ac:dyDescent="0.35">
      <c r="E134" s="27"/>
      <c r="F134" s="27" t="s">
        <v>159</v>
      </c>
      <c r="G134" s="28" t="s">
        <v>152</v>
      </c>
      <c r="H134" s="28" t="s">
        <v>152</v>
      </c>
      <c r="I134" s="28" t="s">
        <v>140</v>
      </c>
      <c r="J134" s="28"/>
      <c r="K134" s="28" t="s">
        <v>305</v>
      </c>
      <c r="L134" s="28" t="s">
        <v>63</v>
      </c>
      <c r="M134" s="28"/>
      <c r="N134" s="53"/>
      <c r="O134" s="38"/>
      <c r="P134" s="52"/>
      <c r="Q134" s="32">
        <v>0.7</v>
      </c>
      <c r="R134" s="28" t="s">
        <v>279</v>
      </c>
    </row>
    <row r="135" spans="1:19" x14ac:dyDescent="0.35">
      <c r="E135" s="27"/>
      <c r="F135" s="27" t="s">
        <v>160</v>
      </c>
      <c r="G135" s="28" t="s">
        <v>151</v>
      </c>
      <c r="H135" s="28" t="s">
        <v>151</v>
      </c>
      <c r="I135" s="35" t="s">
        <v>553</v>
      </c>
      <c r="J135" s="35"/>
      <c r="K135" s="35"/>
      <c r="L135" s="35"/>
      <c r="M135" s="28"/>
      <c r="N135" s="53"/>
      <c r="O135" s="38"/>
      <c r="P135" s="52"/>
    </row>
    <row r="136" spans="1:19" x14ac:dyDescent="0.35">
      <c r="N136" s="51"/>
      <c r="O136" s="38"/>
      <c r="P136" s="52"/>
    </row>
    <row r="137" spans="1:19" x14ac:dyDescent="0.35">
      <c r="E137" s="17" t="s">
        <v>5</v>
      </c>
      <c r="F137" s="17" t="s">
        <v>153</v>
      </c>
      <c r="G137" s="9" t="s">
        <v>151</v>
      </c>
      <c r="H137" s="9" t="s">
        <v>24</v>
      </c>
      <c r="I137" s="9" t="s">
        <v>363</v>
      </c>
      <c r="J137" s="9" t="s">
        <v>328</v>
      </c>
      <c r="K137" s="9" t="s">
        <v>326</v>
      </c>
      <c r="L137" s="9" t="s">
        <v>327</v>
      </c>
      <c r="M137" s="9"/>
      <c r="N137" s="45">
        <f>71/6.5</f>
        <v>10.923076923076923</v>
      </c>
      <c r="O137" s="46">
        <f>4302/6.5</f>
        <v>661.84615384615381</v>
      </c>
      <c r="P137" s="47">
        <f>116*0.15</f>
        <v>17.399999999999999</v>
      </c>
      <c r="Q137" s="23">
        <v>0.7</v>
      </c>
      <c r="R137" s="9" t="s">
        <v>279</v>
      </c>
    </row>
    <row r="138" spans="1:19" x14ac:dyDescent="0.35">
      <c r="C138" s="19"/>
      <c r="D138" s="19"/>
      <c r="F138" s="17" t="s">
        <v>156</v>
      </c>
      <c r="G138" s="9" t="s">
        <v>151</v>
      </c>
      <c r="H138" s="9" t="s">
        <v>151</v>
      </c>
      <c r="I138" s="9" t="s">
        <v>190</v>
      </c>
      <c r="J138" s="9"/>
      <c r="K138" s="9" t="s">
        <v>278</v>
      </c>
      <c r="L138" s="9" t="s">
        <v>64</v>
      </c>
      <c r="M138" s="9"/>
      <c r="N138" s="45" t="s">
        <v>129</v>
      </c>
      <c r="O138" s="38"/>
      <c r="P138" s="47"/>
      <c r="Q138" s="23">
        <v>0.7</v>
      </c>
      <c r="R138" s="9"/>
    </row>
    <row r="139" spans="1:19" x14ac:dyDescent="0.35">
      <c r="C139" s="19"/>
      <c r="D139" s="19"/>
      <c r="E139" s="17"/>
      <c r="F139" s="17" t="s">
        <v>133</v>
      </c>
      <c r="G139" s="9" t="s">
        <v>24</v>
      </c>
      <c r="H139" s="9" t="s">
        <v>24</v>
      </c>
      <c r="I139" s="9" t="s">
        <v>324</v>
      </c>
      <c r="J139" s="9" t="s">
        <v>322</v>
      </c>
      <c r="K139" s="9" t="s">
        <v>18</v>
      </c>
      <c r="L139" s="9" t="s">
        <v>323</v>
      </c>
      <c r="M139" s="9"/>
      <c r="N139" s="45">
        <f>95/5</f>
        <v>19</v>
      </c>
      <c r="O139" s="46">
        <f>4302/5</f>
        <v>860.4</v>
      </c>
      <c r="P139" s="47">
        <f>77*0.95</f>
        <v>73.149999999999991</v>
      </c>
      <c r="Q139" s="23">
        <v>0.1</v>
      </c>
      <c r="R139" s="9"/>
      <c r="S139" s="9" t="s">
        <v>325</v>
      </c>
    </row>
    <row r="140" spans="1:19" x14ac:dyDescent="0.35">
      <c r="C140" s="19"/>
      <c r="D140" s="19"/>
      <c r="N140" s="51"/>
      <c r="O140" s="38"/>
      <c r="P140" s="73"/>
    </row>
    <row r="141" spans="1:19" x14ac:dyDescent="0.35">
      <c r="C141" s="19"/>
      <c r="D141" s="19"/>
      <c r="E141" s="24" t="s">
        <v>163</v>
      </c>
      <c r="F141" s="24" t="s">
        <v>164</v>
      </c>
      <c r="G141" s="25" t="s">
        <v>24</v>
      </c>
      <c r="H141" s="25" t="s">
        <v>24</v>
      </c>
      <c r="I141" s="25" t="s">
        <v>324</v>
      </c>
      <c r="J141" s="25" t="s">
        <v>322</v>
      </c>
      <c r="K141" s="25" t="s">
        <v>18</v>
      </c>
      <c r="L141" s="25" t="s">
        <v>323</v>
      </c>
      <c r="M141" s="25"/>
      <c r="N141" s="48">
        <f>95/5</f>
        <v>19</v>
      </c>
      <c r="O141" s="49">
        <f>4302/5</f>
        <v>860.4</v>
      </c>
      <c r="P141" s="50">
        <f>77*0.95</f>
        <v>73.149999999999991</v>
      </c>
      <c r="Q141" s="26">
        <v>0.1</v>
      </c>
      <c r="R141" s="25"/>
      <c r="S141" s="25" t="s">
        <v>325</v>
      </c>
    </row>
    <row r="142" spans="1:19" x14ac:dyDescent="0.35">
      <c r="N142" s="51"/>
      <c r="O142" s="38"/>
      <c r="P142" s="52"/>
    </row>
    <row r="143" spans="1:19" x14ac:dyDescent="0.35">
      <c r="A143" s="2"/>
      <c r="C143" s="39" t="s">
        <v>57</v>
      </c>
      <c r="D143" s="39"/>
      <c r="E143" s="40" t="s">
        <v>7</v>
      </c>
      <c r="F143" s="40" t="s">
        <v>158</v>
      </c>
      <c r="G143" s="41" t="s">
        <v>151</v>
      </c>
      <c r="H143" s="41" t="s">
        <v>151</v>
      </c>
      <c r="I143" s="41" t="s">
        <v>139</v>
      </c>
      <c r="J143" s="41"/>
      <c r="K143" s="41" t="s">
        <v>280</v>
      </c>
      <c r="L143" s="41" t="s">
        <v>57</v>
      </c>
      <c r="M143" s="41"/>
      <c r="N143" s="56"/>
      <c r="O143" s="57"/>
      <c r="P143" s="58"/>
      <c r="Q143" s="42">
        <v>0.7</v>
      </c>
      <c r="R143" s="41" t="s">
        <v>279</v>
      </c>
      <c r="S143" s="41"/>
    </row>
    <row r="144" spans="1:19" x14ac:dyDescent="0.35">
      <c r="C144" s="39"/>
      <c r="D144" s="39"/>
      <c r="E144" s="40"/>
      <c r="F144" s="40" t="s">
        <v>159</v>
      </c>
      <c r="G144" s="41" t="s">
        <v>152</v>
      </c>
      <c r="H144" s="41" t="s">
        <v>152</v>
      </c>
      <c r="I144" s="41" t="s">
        <v>140</v>
      </c>
      <c r="J144" s="41"/>
      <c r="K144" s="41" t="s">
        <v>281</v>
      </c>
      <c r="L144" s="41" t="s">
        <v>57</v>
      </c>
      <c r="M144" s="41"/>
      <c r="N144" s="56"/>
      <c r="O144" s="57"/>
      <c r="P144" s="58"/>
      <c r="Q144" s="42">
        <v>0.7</v>
      </c>
      <c r="R144" s="41" t="s">
        <v>279</v>
      </c>
      <c r="S144" s="41"/>
    </row>
    <row r="145" spans="3:19" x14ac:dyDescent="0.35">
      <c r="C145" s="39"/>
      <c r="D145" s="39"/>
      <c r="E145" s="40"/>
      <c r="F145" s="40" t="s">
        <v>160</v>
      </c>
      <c r="G145" s="41" t="s">
        <v>151</v>
      </c>
      <c r="H145" s="41" t="s">
        <v>151</v>
      </c>
      <c r="I145" s="43" t="s">
        <v>553</v>
      </c>
      <c r="J145" s="43"/>
      <c r="K145" s="43"/>
      <c r="L145" s="43"/>
      <c r="M145" s="41"/>
      <c r="N145" s="56"/>
      <c r="O145" s="57"/>
      <c r="P145" s="58"/>
      <c r="Q145" s="42"/>
      <c r="R145" s="41"/>
      <c r="S145" s="41"/>
    </row>
    <row r="146" spans="3:19" x14ac:dyDescent="0.35">
      <c r="C146" s="39"/>
      <c r="D146" s="39"/>
      <c r="E146" s="40"/>
      <c r="F146" s="40"/>
      <c r="G146" s="41"/>
      <c r="H146" s="41"/>
      <c r="I146" s="41"/>
      <c r="J146" s="41"/>
      <c r="K146" s="41"/>
      <c r="L146" s="41"/>
      <c r="M146" s="41"/>
      <c r="N146" s="56"/>
      <c r="O146" s="57"/>
      <c r="P146" s="58"/>
      <c r="Q146" s="42"/>
      <c r="R146" s="41"/>
      <c r="S146" s="41"/>
    </row>
    <row r="147" spans="3:19" x14ac:dyDescent="0.35">
      <c r="C147" s="39"/>
      <c r="D147" s="39"/>
      <c r="E147" s="40" t="s">
        <v>5</v>
      </c>
      <c r="F147" s="40" t="s">
        <v>153</v>
      </c>
      <c r="G147" s="41" t="s">
        <v>270</v>
      </c>
      <c r="H147" s="41" t="s">
        <v>6</v>
      </c>
      <c r="I147" s="41" t="s">
        <v>364</v>
      </c>
      <c r="J147" s="41" t="s">
        <v>282</v>
      </c>
      <c r="K147" s="41" t="s">
        <v>283</v>
      </c>
      <c r="L147" s="41" t="s">
        <v>284</v>
      </c>
      <c r="M147" s="41"/>
      <c r="N147" s="56">
        <v>11</v>
      </c>
      <c r="O147" s="57">
        <v>770</v>
      </c>
      <c r="P147" s="58">
        <v>8</v>
      </c>
      <c r="Q147" s="42">
        <v>0.7</v>
      </c>
      <c r="R147" s="41" t="s">
        <v>279</v>
      </c>
      <c r="S147" s="41"/>
    </row>
    <row r="148" spans="3:19" x14ac:dyDescent="0.35">
      <c r="N148" s="51"/>
      <c r="O148" s="38"/>
      <c r="P148" s="52"/>
    </row>
    <row r="149" spans="3:19" x14ac:dyDescent="0.35">
      <c r="C149" s="15" t="s">
        <v>58</v>
      </c>
      <c r="E149" s="27" t="s">
        <v>7</v>
      </c>
      <c r="F149" s="27" t="s">
        <v>158</v>
      </c>
      <c r="G149" s="28" t="s">
        <v>151</v>
      </c>
      <c r="H149" s="28" t="s">
        <v>151</v>
      </c>
      <c r="I149" s="28" t="s">
        <v>139</v>
      </c>
      <c r="J149" s="28"/>
      <c r="K149" s="28" t="s">
        <v>285</v>
      </c>
      <c r="L149" s="28" t="s">
        <v>286</v>
      </c>
      <c r="M149" s="28"/>
      <c r="N149" s="51"/>
      <c r="O149" s="38"/>
      <c r="P149" s="52"/>
      <c r="Q149" s="32">
        <v>0.7</v>
      </c>
      <c r="R149" s="28" t="s">
        <v>279</v>
      </c>
    </row>
    <row r="150" spans="3:19" x14ac:dyDescent="0.35">
      <c r="E150" s="27"/>
      <c r="F150" s="27" t="s">
        <v>159</v>
      </c>
      <c r="G150" s="28" t="s">
        <v>152</v>
      </c>
      <c r="H150" s="28" t="s">
        <v>152</v>
      </c>
      <c r="I150" s="28" t="s">
        <v>140</v>
      </c>
      <c r="J150" s="28"/>
      <c r="K150" s="28" t="s">
        <v>287</v>
      </c>
      <c r="L150" s="28" t="s">
        <v>286</v>
      </c>
      <c r="M150" s="28"/>
      <c r="N150" s="51"/>
      <c r="O150" s="38"/>
      <c r="P150" s="52"/>
      <c r="Q150" s="32">
        <v>0.7</v>
      </c>
      <c r="R150" s="28" t="s">
        <v>279</v>
      </c>
    </row>
    <row r="151" spans="3:19" x14ac:dyDescent="0.35">
      <c r="E151" s="27"/>
      <c r="F151" s="27" t="s">
        <v>160</v>
      </c>
      <c r="G151" s="28" t="s">
        <v>151</v>
      </c>
      <c r="H151" s="28" t="s">
        <v>151</v>
      </c>
      <c r="I151" s="35" t="s">
        <v>553</v>
      </c>
      <c r="J151" s="35"/>
      <c r="K151" s="35"/>
      <c r="L151" s="35"/>
      <c r="M151" s="28"/>
      <c r="N151" s="51"/>
      <c r="O151" s="38"/>
      <c r="P151" s="52"/>
    </row>
    <row r="152" spans="3:19" x14ac:dyDescent="0.35">
      <c r="N152" s="51"/>
      <c r="O152" s="38"/>
      <c r="P152" s="52"/>
    </row>
    <row r="153" spans="3:19" x14ac:dyDescent="0.35">
      <c r="C153" s="19"/>
      <c r="D153" s="19"/>
      <c r="E153" s="17" t="s">
        <v>5</v>
      </c>
      <c r="F153" s="17" t="s">
        <v>156</v>
      </c>
      <c r="G153" s="9" t="s">
        <v>151</v>
      </c>
      <c r="H153" s="9" t="s">
        <v>132</v>
      </c>
      <c r="I153" s="9" t="s">
        <v>190</v>
      </c>
      <c r="J153" s="9"/>
      <c r="K153" s="9" t="s">
        <v>288</v>
      </c>
      <c r="L153" s="9" t="s">
        <v>289</v>
      </c>
      <c r="M153" s="9"/>
      <c r="N153" s="45">
        <v>25</v>
      </c>
      <c r="O153" s="46">
        <v>1560</v>
      </c>
      <c r="P153" s="47">
        <v>5</v>
      </c>
      <c r="Q153" s="23">
        <v>0.7</v>
      </c>
      <c r="R153" s="9" t="s">
        <v>279</v>
      </c>
    </row>
    <row r="154" spans="3:19" x14ac:dyDescent="0.35">
      <c r="C154" s="19"/>
      <c r="D154" s="19"/>
      <c r="E154" s="17"/>
      <c r="F154" s="17" t="s">
        <v>133</v>
      </c>
      <c r="G154" s="9" t="s">
        <v>24</v>
      </c>
      <c r="H154" s="9" t="s">
        <v>24</v>
      </c>
      <c r="I154" s="9" t="s">
        <v>329</v>
      </c>
      <c r="J154" s="9" t="s">
        <v>330</v>
      </c>
      <c r="K154" s="9" t="s">
        <v>18</v>
      </c>
      <c r="L154" s="9" t="s">
        <v>331</v>
      </c>
      <c r="M154" s="9"/>
      <c r="N154" s="45">
        <f>66/2</f>
        <v>33</v>
      </c>
      <c r="O154" s="46">
        <f>4130/2</f>
        <v>2065</v>
      </c>
      <c r="P154" s="47">
        <f>19*0.55</f>
        <v>10.450000000000001</v>
      </c>
      <c r="Q154" s="23">
        <v>0.7</v>
      </c>
      <c r="R154" s="9"/>
    </row>
    <row r="155" spans="3:19" x14ac:dyDescent="0.35">
      <c r="N155" s="51"/>
      <c r="O155" s="38"/>
      <c r="P155" s="52"/>
    </row>
    <row r="156" spans="3:19" x14ac:dyDescent="0.35">
      <c r="C156" s="15" t="s">
        <v>60</v>
      </c>
      <c r="E156" s="27" t="s">
        <v>7</v>
      </c>
      <c r="F156" s="27" t="s">
        <v>158</v>
      </c>
      <c r="G156" s="28" t="s">
        <v>151</v>
      </c>
      <c r="H156" s="28" t="s">
        <v>151</v>
      </c>
      <c r="I156" s="28" t="s">
        <v>139</v>
      </c>
      <c r="J156" s="28"/>
      <c r="K156" s="28" t="s">
        <v>292</v>
      </c>
      <c r="L156" s="28" t="s">
        <v>60</v>
      </c>
      <c r="M156" s="28"/>
      <c r="N156" s="53"/>
      <c r="O156" s="54"/>
      <c r="P156" s="55"/>
      <c r="Q156" s="32">
        <v>0.7</v>
      </c>
      <c r="R156" s="28" t="s">
        <v>279</v>
      </c>
    </row>
    <row r="157" spans="3:19" x14ac:dyDescent="0.35">
      <c r="E157" s="27"/>
      <c r="F157" s="27" t="s">
        <v>159</v>
      </c>
      <c r="G157" s="28" t="s">
        <v>152</v>
      </c>
      <c r="H157" s="28" t="s">
        <v>152</v>
      </c>
      <c r="I157" s="28" t="s">
        <v>140</v>
      </c>
      <c r="J157" s="28"/>
      <c r="K157" s="28" t="s">
        <v>304</v>
      </c>
      <c r="L157" s="28" t="s">
        <v>60</v>
      </c>
      <c r="M157" s="28"/>
      <c r="N157" s="53"/>
      <c r="O157" s="54"/>
      <c r="P157" s="55"/>
      <c r="Q157" s="32">
        <v>0.7</v>
      </c>
      <c r="R157" s="28" t="s">
        <v>279</v>
      </c>
    </row>
    <row r="158" spans="3:19" x14ac:dyDescent="0.35">
      <c r="E158" s="27"/>
      <c r="F158" s="27" t="s">
        <v>160</v>
      </c>
      <c r="G158" s="28" t="s">
        <v>151</v>
      </c>
      <c r="H158" s="28" t="s">
        <v>151</v>
      </c>
      <c r="I158" s="35" t="s">
        <v>553</v>
      </c>
      <c r="J158" s="35"/>
      <c r="K158" s="35"/>
      <c r="L158" s="35"/>
      <c r="M158" s="28"/>
      <c r="N158" s="53"/>
      <c r="O158" s="54"/>
      <c r="P158" s="55"/>
      <c r="Q158" s="32"/>
      <c r="R158" s="28"/>
    </row>
    <row r="159" spans="3:19" x14ac:dyDescent="0.35">
      <c r="N159" s="51"/>
      <c r="O159" s="38"/>
      <c r="P159" s="52"/>
    </row>
    <row r="160" spans="3:19" x14ac:dyDescent="0.35">
      <c r="C160" s="19"/>
      <c r="D160" s="19"/>
      <c r="E160" s="17" t="s">
        <v>5</v>
      </c>
      <c r="F160" s="17" t="s">
        <v>153</v>
      </c>
      <c r="G160" s="9" t="s">
        <v>270</v>
      </c>
      <c r="H160" s="9" t="s">
        <v>6</v>
      </c>
      <c r="I160" s="9" t="s">
        <v>364</v>
      </c>
      <c r="J160" s="9" t="s">
        <v>282</v>
      </c>
      <c r="K160" s="9" t="s">
        <v>293</v>
      </c>
      <c r="L160" s="9" t="s">
        <v>294</v>
      </c>
      <c r="M160" s="9"/>
      <c r="N160" s="45">
        <v>11</v>
      </c>
      <c r="O160" s="46">
        <v>770</v>
      </c>
      <c r="P160" s="47">
        <v>8</v>
      </c>
      <c r="Q160" s="23">
        <v>0.7</v>
      </c>
      <c r="R160" s="9" t="s">
        <v>279</v>
      </c>
    </row>
    <row r="161" spans="1:18" x14ac:dyDescent="0.35">
      <c r="N161" s="51"/>
      <c r="O161" s="38"/>
      <c r="P161" s="52"/>
    </row>
    <row r="162" spans="1:18" x14ac:dyDescent="0.35">
      <c r="C162" s="15" t="s">
        <v>59</v>
      </c>
      <c r="E162" s="27" t="s">
        <v>7</v>
      </c>
      <c r="F162" s="27" t="s">
        <v>158</v>
      </c>
      <c r="G162" s="28" t="s">
        <v>151</v>
      </c>
      <c r="H162" s="28" t="s">
        <v>151</v>
      </c>
      <c r="I162" s="28" t="s">
        <v>139</v>
      </c>
      <c r="J162" s="28"/>
      <c r="K162" s="28" t="s">
        <v>295</v>
      </c>
      <c r="L162" s="28" t="s">
        <v>59</v>
      </c>
      <c r="M162" s="28"/>
      <c r="N162" s="53"/>
      <c r="O162" s="54"/>
      <c r="P162" s="55"/>
      <c r="Q162" s="32">
        <v>0.7</v>
      </c>
      <c r="R162" s="28" t="s">
        <v>279</v>
      </c>
    </row>
    <row r="163" spans="1:18" x14ac:dyDescent="0.35">
      <c r="E163" s="27"/>
      <c r="F163" s="27" t="s">
        <v>159</v>
      </c>
      <c r="G163" s="28" t="s">
        <v>152</v>
      </c>
      <c r="H163" s="28" t="s">
        <v>152</v>
      </c>
      <c r="I163" s="28" t="s">
        <v>140</v>
      </c>
      <c r="J163" s="28"/>
      <c r="K163" s="28" t="s">
        <v>296</v>
      </c>
      <c r="L163" s="28" t="s">
        <v>59</v>
      </c>
      <c r="M163" s="28"/>
      <c r="N163" s="53"/>
      <c r="O163" s="54"/>
      <c r="P163" s="55"/>
      <c r="Q163" s="32">
        <v>0.7</v>
      </c>
      <c r="R163" s="28" t="s">
        <v>279</v>
      </c>
    </row>
    <row r="164" spans="1:18" x14ac:dyDescent="0.35">
      <c r="E164" s="27"/>
      <c r="F164" s="27" t="s">
        <v>160</v>
      </c>
      <c r="G164" s="28" t="s">
        <v>151</v>
      </c>
      <c r="H164" s="28" t="s">
        <v>151</v>
      </c>
      <c r="I164" s="35" t="s">
        <v>553</v>
      </c>
      <c r="J164" s="35"/>
      <c r="K164" s="35" t="s">
        <v>115</v>
      </c>
      <c r="L164" s="35" t="s">
        <v>115</v>
      </c>
      <c r="M164" s="28"/>
      <c r="N164" s="53"/>
      <c r="O164" s="54"/>
      <c r="P164" s="55"/>
      <c r="Q164" s="32"/>
      <c r="R164" s="28"/>
    </row>
    <row r="165" spans="1:18" x14ac:dyDescent="0.35">
      <c r="N165" s="51"/>
      <c r="O165" s="38"/>
      <c r="P165" s="52"/>
    </row>
    <row r="166" spans="1:18" x14ac:dyDescent="0.35">
      <c r="C166" s="19"/>
      <c r="D166" s="19"/>
      <c r="E166" s="17" t="s">
        <v>5</v>
      </c>
      <c r="F166" s="17" t="s">
        <v>153</v>
      </c>
      <c r="G166" s="9" t="s">
        <v>300</v>
      </c>
      <c r="H166" s="9" t="s">
        <v>6</v>
      </c>
      <c r="I166" s="9" t="s">
        <v>301</v>
      </c>
      <c r="J166" s="9" t="s">
        <v>130</v>
      </c>
      <c r="K166" s="9" t="s">
        <v>298</v>
      </c>
      <c r="L166" s="9" t="s">
        <v>299</v>
      </c>
      <c r="M166" s="9"/>
      <c r="N166" s="45">
        <f>124/2</f>
        <v>62</v>
      </c>
      <c r="O166" s="46">
        <f>4150/2</f>
        <v>2075</v>
      </c>
      <c r="P166" s="47">
        <f>54/2</f>
        <v>27</v>
      </c>
      <c r="Q166" s="23">
        <v>0.7</v>
      </c>
      <c r="R166" s="9" t="s">
        <v>279</v>
      </c>
    </row>
    <row r="167" spans="1:18" x14ac:dyDescent="0.35">
      <c r="C167" s="19"/>
      <c r="D167" s="19"/>
      <c r="E167" s="17"/>
      <c r="F167" s="17" t="s">
        <v>156</v>
      </c>
      <c r="G167" s="9" t="s">
        <v>151</v>
      </c>
      <c r="H167" s="9" t="s">
        <v>151</v>
      </c>
      <c r="I167" s="9" t="s">
        <v>190</v>
      </c>
      <c r="J167" s="9"/>
      <c r="K167" s="9" t="s">
        <v>297</v>
      </c>
      <c r="L167" s="9" t="s">
        <v>61</v>
      </c>
      <c r="M167" s="9"/>
      <c r="N167" s="45" t="s">
        <v>129</v>
      </c>
      <c r="O167" s="46"/>
      <c r="P167" s="47"/>
      <c r="Q167" s="23"/>
      <c r="R167" s="9"/>
    </row>
    <row r="168" spans="1:18" x14ac:dyDescent="0.35">
      <c r="N168" s="51"/>
      <c r="O168" s="38"/>
      <c r="P168" s="52"/>
    </row>
    <row r="169" spans="1:18" x14ac:dyDescent="0.35">
      <c r="A169" s="2"/>
      <c r="B169" s="19"/>
      <c r="C169" s="15" t="s">
        <v>624</v>
      </c>
      <c r="E169" s="27" t="s">
        <v>7</v>
      </c>
      <c r="F169" s="27" t="s">
        <v>158</v>
      </c>
      <c r="G169" s="28" t="s">
        <v>151</v>
      </c>
      <c r="H169" s="28" t="s">
        <v>151</v>
      </c>
      <c r="I169" s="28" t="s">
        <v>139</v>
      </c>
      <c r="J169" s="28"/>
      <c r="K169" s="28" t="s">
        <v>626</v>
      </c>
      <c r="L169" s="28" t="s">
        <v>624</v>
      </c>
      <c r="M169" s="28"/>
      <c r="N169" s="53"/>
      <c r="O169" s="54"/>
      <c r="P169" s="55"/>
      <c r="Q169" s="32">
        <v>0.7</v>
      </c>
      <c r="R169" s="28" t="s">
        <v>279</v>
      </c>
    </row>
    <row r="170" spans="1:18" s="9" customFormat="1" x14ac:dyDescent="0.35">
      <c r="B170" s="14"/>
      <c r="C170" s="15"/>
      <c r="D170" s="15"/>
      <c r="E170" s="27"/>
      <c r="F170" s="27" t="s">
        <v>159</v>
      </c>
      <c r="G170" s="28" t="s">
        <v>152</v>
      </c>
      <c r="H170" s="28" t="s">
        <v>152</v>
      </c>
      <c r="I170" s="28" t="s">
        <v>140</v>
      </c>
      <c r="J170" s="28"/>
      <c r="K170" s="28" t="s">
        <v>625</v>
      </c>
      <c r="L170" s="28" t="s">
        <v>624</v>
      </c>
      <c r="M170" s="28"/>
      <c r="N170" s="53"/>
      <c r="O170" s="54"/>
      <c r="P170" s="55"/>
      <c r="Q170" s="32">
        <v>0.7</v>
      </c>
      <c r="R170" s="28" t="s">
        <v>279</v>
      </c>
    </row>
    <row r="171" spans="1:18" x14ac:dyDescent="0.35">
      <c r="E171" s="27"/>
      <c r="F171" s="27" t="s">
        <v>160</v>
      </c>
      <c r="G171" s="28" t="s">
        <v>151</v>
      </c>
      <c r="H171" s="28" t="s">
        <v>151</v>
      </c>
      <c r="I171" s="35" t="s">
        <v>553</v>
      </c>
      <c r="J171" s="35"/>
      <c r="K171" s="35"/>
      <c r="L171" s="35"/>
      <c r="M171" s="28"/>
      <c r="N171" s="53"/>
      <c r="O171" s="54"/>
      <c r="P171" s="55"/>
      <c r="Q171" s="32"/>
      <c r="R171" s="28"/>
    </row>
    <row r="172" spans="1:18" x14ac:dyDescent="0.35">
      <c r="N172" s="51"/>
      <c r="O172" s="38"/>
      <c r="P172" s="52"/>
    </row>
    <row r="173" spans="1:18" x14ac:dyDescent="0.35">
      <c r="C173" s="19"/>
      <c r="D173" s="19"/>
      <c r="E173" s="17" t="s">
        <v>5</v>
      </c>
      <c r="F173" s="17" t="s">
        <v>153</v>
      </c>
      <c r="G173" s="9" t="s">
        <v>270</v>
      </c>
      <c r="H173" s="9" t="s">
        <v>6</v>
      </c>
      <c r="I173" s="9" t="s">
        <v>131</v>
      </c>
      <c r="J173" s="9" t="s">
        <v>282</v>
      </c>
      <c r="K173" s="9" t="s">
        <v>302</v>
      </c>
      <c r="L173" s="9" t="s">
        <v>303</v>
      </c>
      <c r="M173" s="9"/>
      <c r="N173" s="45">
        <v>11</v>
      </c>
      <c r="O173" s="46">
        <v>770</v>
      </c>
      <c r="P173" s="47">
        <v>8</v>
      </c>
      <c r="Q173" s="23">
        <v>0.7</v>
      </c>
      <c r="R173" s="9" t="s">
        <v>279</v>
      </c>
    </row>
    <row r="174" spans="1:18" x14ac:dyDescent="0.35">
      <c r="N174" s="51"/>
      <c r="O174" s="38"/>
      <c r="P174" s="52"/>
    </row>
    <row r="175" spans="1:18" x14ac:dyDescent="0.35">
      <c r="A175" s="2"/>
      <c r="B175" s="19"/>
      <c r="C175" s="15" t="s">
        <v>311</v>
      </c>
      <c r="E175" s="27" t="s">
        <v>7</v>
      </c>
      <c r="F175" s="27" t="s">
        <v>158</v>
      </c>
      <c r="G175" s="28" t="s">
        <v>151</v>
      </c>
      <c r="H175" s="28" t="s">
        <v>151</v>
      </c>
      <c r="I175" s="28" t="s">
        <v>139</v>
      </c>
      <c r="J175" s="28"/>
      <c r="K175" s="28" t="s">
        <v>749</v>
      </c>
      <c r="L175" s="28" t="s">
        <v>307</v>
      </c>
      <c r="M175" s="28"/>
      <c r="N175" s="53"/>
      <c r="O175" s="54"/>
      <c r="P175" s="55"/>
      <c r="Q175" s="32">
        <v>0.7</v>
      </c>
      <c r="R175" s="28" t="s">
        <v>279</v>
      </c>
    </row>
    <row r="176" spans="1:18" s="9" customFormat="1" x14ac:dyDescent="0.35">
      <c r="B176" s="19"/>
      <c r="C176" s="15"/>
      <c r="D176" s="15"/>
      <c r="E176" s="27"/>
      <c r="F176" s="27" t="s">
        <v>159</v>
      </c>
      <c r="G176" s="28" t="s">
        <v>152</v>
      </c>
      <c r="H176" s="28" t="s">
        <v>152</v>
      </c>
      <c r="I176" s="28" t="s">
        <v>140</v>
      </c>
      <c r="J176" s="28"/>
      <c r="K176" s="28" t="s">
        <v>306</v>
      </c>
      <c r="L176" s="28" t="s">
        <v>307</v>
      </c>
      <c r="M176" s="28"/>
      <c r="N176" s="53"/>
      <c r="O176" s="54"/>
      <c r="P176" s="55"/>
      <c r="Q176" s="32">
        <v>0.7</v>
      </c>
      <c r="R176" s="28" t="s">
        <v>279</v>
      </c>
    </row>
    <row r="177" spans="2:18" s="9" customFormat="1" x14ac:dyDescent="0.35">
      <c r="B177" s="14"/>
      <c r="C177" s="15"/>
      <c r="D177" s="15"/>
      <c r="E177" s="27"/>
      <c r="F177" s="27" t="s">
        <v>160</v>
      </c>
      <c r="G177" s="28" t="s">
        <v>151</v>
      </c>
      <c r="H177" s="28" t="s">
        <v>151</v>
      </c>
      <c r="I177" s="35" t="s">
        <v>553</v>
      </c>
      <c r="J177" s="35"/>
      <c r="K177" s="35"/>
      <c r="L177" s="35"/>
      <c r="M177" s="28"/>
      <c r="N177" s="53"/>
      <c r="O177" s="54"/>
      <c r="P177" s="55"/>
      <c r="Q177" s="32"/>
      <c r="R177" s="28"/>
    </row>
    <row r="178" spans="2:18" x14ac:dyDescent="0.35">
      <c r="N178" s="51"/>
      <c r="O178" s="38"/>
      <c r="P178" s="52"/>
    </row>
    <row r="179" spans="2:18" x14ac:dyDescent="0.35">
      <c r="C179" s="19"/>
      <c r="D179" s="19"/>
      <c r="E179" s="17" t="s">
        <v>5</v>
      </c>
      <c r="F179" s="17" t="s">
        <v>153</v>
      </c>
      <c r="G179" s="9" t="s">
        <v>270</v>
      </c>
      <c r="H179" s="9" t="s">
        <v>6</v>
      </c>
      <c r="I179" s="9" t="s">
        <v>364</v>
      </c>
      <c r="J179" s="9" t="s">
        <v>282</v>
      </c>
      <c r="K179" s="9" t="s">
        <v>308</v>
      </c>
      <c r="L179" s="9" t="s">
        <v>309</v>
      </c>
      <c r="M179" s="9"/>
      <c r="N179" s="45">
        <v>11</v>
      </c>
      <c r="O179" s="46">
        <v>770</v>
      </c>
      <c r="P179" s="47">
        <v>8</v>
      </c>
      <c r="Q179" s="23">
        <v>0.7</v>
      </c>
      <c r="R179" s="9" t="s">
        <v>279</v>
      </c>
    </row>
    <row r="180" spans="2:18" x14ac:dyDescent="0.35">
      <c r="N180" s="51"/>
      <c r="O180" s="38"/>
      <c r="P180" s="52"/>
    </row>
    <row r="181" spans="2:18" x14ac:dyDescent="0.35">
      <c r="C181" s="15" t="s">
        <v>310</v>
      </c>
      <c r="E181" s="27" t="s">
        <v>7</v>
      </c>
      <c r="F181" s="27" t="s">
        <v>158</v>
      </c>
      <c r="G181" s="28" t="s">
        <v>151</v>
      </c>
      <c r="H181" s="28" t="s">
        <v>151</v>
      </c>
      <c r="I181" s="28" t="s">
        <v>139</v>
      </c>
      <c r="J181" s="28"/>
      <c r="K181" s="28" t="s">
        <v>312</v>
      </c>
      <c r="L181" s="28" t="s">
        <v>310</v>
      </c>
      <c r="M181" s="28"/>
      <c r="N181" s="53"/>
      <c r="O181" s="54"/>
      <c r="P181" s="55"/>
      <c r="Q181" s="32">
        <v>0.7</v>
      </c>
      <c r="R181" s="28" t="s">
        <v>279</v>
      </c>
    </row>
    <row r="182" spans="2:18" x14ac:dyDescent="0.35">
      <c r="B182" s="19"/>
      <c r="E182" s="27"/>
      <c r="F182" s="27" t="s">
        <v>159</v>
      </c>
      <c r="G182" s="28" t="s">
        <v>152</v>
      </c>
      <c r="H182" s="28" t="s">
        <v>152</v>
      </c>
      <c r="I182" s="28" t="s">
        <v>140</v>
      </c>
      <c r="J182" s="28"/>
      <c r="K182" s="28" t="s">
        <v>313</v>
      </c>
      <c r="L182" s="28" t="s">
        <v>310</v>
      </c>
      <c r="M182" s="28"/>
      <c r="N182" s="53"/>
      <c r="O182" s="54"/>
      <c r="P182" s="55"/>
      <c r="Q182" s="32">
        <v>0.7</v>
      </c>
      <c r="R182" s="28" t="s">
        <v>279</v>
      </c>
    </row>
    <row r="183" spans="2:18" s="9" customFormat="1" x14ac:dyDescent="0.35">
      <c r="B183" s="14"/>
      <c r="C183" s="15"/>
      <c r="D183" s="15"/>
      <c r="E183" s="27"/>
      <c r="F183" s="27" t="s">
        <v>160</v>
      </c>
      <c r="G183" s="28" t="s">
        <v>151</v>
      </c>
      <c r="H183" s="28" t="s">
        <v>151</v>
      </c>
      <c r="I183" s="35" t="s">
        <v>553</v>
      </c>
      <c r="J183" s="35"/>
      <c r="K183" s="35"/>
      <c r="L183" s="35"/>
      <c r="M183" s="28"/>
      <c r="N183" s="53"/>
      <c r="O183" s="54"/>
      <c r="P183" s="55"/>
      <c r="Q183" s="32"/>
      <c r="R183" s="28"/>
    </row>
    <row r="184" spans="2:18" x14ac:dyDescent="0.35">
      <c r="N184" s="51"/>
      <c r="O184" s="38"/>
      <c r="P184" s="52"/>
    </row>
    <row r="185" spans="2:18" x14ac:dyDescent="0.35">
      <c r="C185" s="19"/>
      <c r="D185" s="19"/>
      <c r="E185" s="17" t="s">
        <v>5</v>
      </c>
      <c r="F185" s="17" t="s">
        <v>153</v>
      </c>
      <c r="G185" s="9" t="s">
        <v>151</v>
      </c>
      <c r="H185" s="9" t="s">
        <v>24</v>
      </c>
      <c r="I185" s="9" t="s">
        <v>365</v>
      </c>
      <c r="J185" s="9" t="s">
        <v>314</v>
      </c>
      <c r="K185" s="9" t="s">
        <v>62</v>
      </c>
      <c r="L185" s="9"/>
      <c r="M185" s="9"/>
      <c r="N185" s="45">
        <f>45/10</f>
        <v>4.5</v>
      </c>
      <c r="O185" s="46">
        <f>4063/10</f>
        <v>406.3</v>
      </c>
      <c r="P185" s="47">
        <f>12*0.89</f>
        <v>10.68</v>
      </c>
      <c r="Q185" s="23">
        <v>0.7</v>
      </c>
      <c r="R185" s="9" t="s">
        <v>279</v>
      </c>
    </row>
    <row r="186" spans="2:18" x14ac:dyDescent="0.35">
      <c r="C186" s="19"/>
      <c r="D186" s="19"/>
      <c r="E186" s="17"/>
      <c r="F186" s="17" t="s">
        <v>133</v>
      </c>
      <c r="G186" s="9" t="s">
        <v>270</v>
      </c>
      <c r="H186" s="9" t="s">
        <v>24</v>
      </c>
      <c r="I186" s="9" t="s">
        <v>336</v>
      </c>
      <c r="J186" s="9" t="s">
        <v>134</v>
      </c>
      <c r="K186" s="9" t="s">
        <v>18</v>
      </c>
      <c r="L186" s="9" t="s">
        <v>134</v>
      </c>
      <c r="M186" s="9"/>
      <c r="N186" s="45">
        <f>91/5</f>
        <v>18.2</v>
      </c>
      <c r="O186" s="46">
        <f>4359/5</f>
        <v>871.8</v>
      </c>
      <c r="P186" s="47">
        <f>16/5</f>
        <v>3.2</v>
      </c>
      <c r="Q186" s="23">
        <v>0.1</v>
      </c>
      <c r="R186" s="9"/>
    </row>
    <row r="187" spans="2:18" x14ac:dyDescent="0.35">
      <c r="N187" s="51"/>
      <c r="O187" s="38"/>
      <c r="P187" s="73"/>
    </row>
    <row r="188" spans="2:18" s="25" customFormat="1" x14ac:dyDescent="0.35">
      <c r="B188" s="37"/>
      <c r="C188" s="37"/>
      <c r="D188" s="37"/>
      <c r="E188" s="24" t="s">
        <v>163</v>
      </c>
      <c r="F188" s="24" t="s">
        <v>164</v>
      </c>
      <c r="G188" s="25" t="s">
        <v>270</v>
      </c>
      <c r="H188" s="25" t="s">
        <v>24</v>
      </c>
      <c r="I188" s="25" t="s">
        <v>337</v>
      </c>
      <c r="J188" s="25" t="s">
        <v>134</v>
      </c>
      <c r="K188" s="25" t="s">
        <v>18</v>
      </c>
      <c r="L188" s="25" t="s">
        <v>134</v>
      </c>
      <c r="N188" s="48">
        <f>91/5</f>
        <v>18.2</v>
      </c>
      <c r="O188" s="49">
        <f>4359/5</f>
        <v>871.8</v>
      </c>
      <c r="P188" s="50">
        <f>16/5</f>
        <v>3.2</v>
      </c>
      <c r="Q188" s="26">
        <v>0.1</v>
      </c>
    </row>
    <row r="189" spans="2:18" s="9" customFormat="1" x14ac:dyDescent="0.35">
      <c r="B189" s="14"/>
      <c r="C189" s="19"/>
      <c r="D189" s="19"/>
      <c r="E189" s="17"/>
      <c r="F189" s="17"/>
      <c r="N189" s="45"/>
      <c r="O189" s="46"/>
      <c r="P189" s="73"/>
      <c r="Q189" s="23"/>
    </row>
    <row r="190" spans="2:18" x14ac:dyDescent="0.35">
      <c r="C190" s="15" t="s">
        <v>315</v>
      </c>
      <c r="E190" s="27" t="s">
        <v>7</v>
      </c>
      <c r="F190" s="27" t="s">
        <v>158</v>
      </c>
      <c r="G190" s="28" t="s">
        <v>151</v>
      </c>
      <c r="H190" s="28" t="s">
        <v>151</v>
      </c>
      <c r="I190" s="28" t="s">
        <v>139</v>
      </c>
      <c r="J190" s="28"/>
      <c r="K190" s="28" t="s">
        <v>316</v>
      </c>
      <c r="L190" s="28" t="s">
        <v>318</v>
      </c>
      <c r="M190" s="28"/>
      <c r="N190" s="53"/>
      <c r="O190" s="38"/>
      <c r="P190" s="73"/>
      <c r="Q190" s="32">
        <v>0.7</v>
      </c>
      <c r="R190" s="28" t="s">
        <v>279</v>
      </c>
    </row>
    <row r="191" spans="2:18" x14ac:dyDescent="0.35">
      <c r="E191" s="27"/>
      <c r="F191" s="27" t="s">
        <v>159</v>
      </c>
      <c r="G191" s="28" t="s">
        <v>152</v>
      </c>
      <c r="H191" s="28" t="s">
        <v>152</v>
      </c>
      <c r="I191" s="28" t="s">
        <v>140</v>
      </c>
      <c r="J191" s="28"/>
      <c r="K191" s="28" t="s">
        <v>317</v>
      </c>
      <c r="L191" s="28" t="s">
        <v>319</v>
      </c>
      <c r="M191" s="28"/>
      <c r="N191" s="53"/>
      <c r="O191" s="38"/>
      <c r="P191" s="73"/>
      <c r="Q191" s="32">
        <v>0.7</v>
      </c>
      <c r="R191" s="28" t="s">
        <v>279</v>
      </c>
    </row>
    <row r="192" spans="2:18" x14ac:dyDescent="0.35">
      <c r="E192" s="27"/>
      <c r="F192" s="27" t="s">
        <v>160</v>
      </c>
      <c r="G192" s="28" t="s">
        <v>151</v>
      </c>
      <c r="H192" s="28" t="s">
        <v>151</v>
      </c>
      <c r="I192" s="35" t="s">
        <v>553</v>
      </c>
      <c r="J192" s="35"/>
      <c r="K192" s="35"/>
      <c r="L192" s="35"/>
      <c r="M192" s="28"/>
      <c r="N192" s="53"/>
      <c r="O192" s="38"/>
      <c r="P192" s="73"/>
    </row>
    <row r="193" spans="1:19" x14ac:dyDescent="0.35">
      <c r="N193" s="51"/>
      <c r="O193" s="38"/>
      <c r="P193" s="73"/>
    </row>
    <row r="194" spans="1:19" x14ac:dyDescent="0.35">
      <c r="E194" s="17" t="s">
        <v>5</v>
      </c>
      <c r="F194" s="17" t="s">
        <v>153</v>
      </c>
      <c r="G194" s="9" t="s">
        <v>151</v>
      </c>
      <c r="H194" s="9" t="s">
        <v>24</v>
      </c>
      <c r="I194" s="9" t="s">
        <v>363</v>
      </c>
      <c r="J194" s="9" t="s">
        <v>366</v>
      </c>
      <c r="K194" s="9" t="s">
        <v>367</v>
      </c>
      <c r="L194" s="9" t="s">
        <v>368</v>
      </c>
      <c r="M194" s="9"/>
      <c r="N194" s="45">
        <f>71/6.5</f>
        <v>10.923076923076923</v>
      </c>
      <c r="O194" s="46">
        <f>4302/6.5</f>
        <v>661.84615384615381</v>
      </c>
      <c r="P194" s="47">
        <f>116*0.15</f>
        <v>17.399999999999999</v>
      </c>
      <c r="Q194" s="23">
        <v>0.7</v>
      </c>
      <c r="R194" s="9" t="s">
        <v>279</v>
      </c>
    </row>
    <row r="195" spans="1:19" x14ac:dyDescent="0.35">
      <c r="B195" s="19"/>
      <c r="C195" s="19"/>
      <c r="D195" s="19"/>
      <c r="E195" s="17"/>
      <c r="F195" s="17" t="s">
        <v>156</v>
      </c>
      <c r="G195" s="9" t="s">
        <v>151</v>
      </c>
      <c r="H195" s="9" t="s">
        <v>151</v>
      </c>
      <c r="I195" s="9" t="s">
        <v>190</v>
      </c>
      <c r="J195" s="9"/>
      <c r="K195" s="9" t="s">
        <v>321</v>
      </c>
      <c r="L195" s="9" t="s">
        <v>320</v>
      </c>
      <c r="M195" s="9"/>
      <c r="N195" s="45" t="s">
        <v>129</v>
      </c>
      <c r="O195" s="38"/>
      <c r="P195" s="47"/>
      <c r="Q195" s="23">
        <v>0.7</v>
      </c>
      <c r="R195" s="9" t="s">
        <v>279</v>
      </c>
    </row>
    <row r="196" spans="1:19" x14ac:dyDescent="0.35">
      <c r="B196" s="19"/>
      <c r="C196" s="19"/>
      <c r="D196" s="19"/>
      <c r="E196" s="17"/>
      <c r="F196" s="17" t="s">
        <v>133</v>
      </c>
      <c r="G196" s="9" t="s">
        <v>24</v>
      </c>
      <c r="H196" s="9" t="s">
        <v>24</v>
      </c>
      <c r="I196" s="9" t="s">
        <v>335</v>
      </c>
      <c r="J196" s="9" t="s">
        <v>332</v>
      </c>
      <c r="K196" s="9" t="s">
        <v>18</v>
      </c>
      <c r="L196" s="9" t="s">
        <v>333</v>
      </c>
      <c r="M196" s="9"/>
      <c r="N196" s="45">
        <f>95/5</f>
        <v>19</v>
      </c>
      <c r="O196" s="46">
        <f>4302/5</f>
        <v>860.4</v>
      </c>
      <c r="P196" s="47">
        <f>77*0.95</f>
        <v>73.149999999999991</v>
      </c>
      <c r="Q196" s="23">
        <v>0.1</v>
      </c>
      <c r="R196" s="9"/>
      <c r="S196" s="9" t="s">
        <v>325</v>
      </c>
    </row>
    <row r="197" spans="1:19" x14ac:dyDescent="0.35">
      <c r="B197" s="19"/>
      <c r="C197" s="19"/>
      <c r="D197" s="19"/>
      <c r="N197" s="51"/>
      <c r="O197" s="38"/>
      <c r="P197" s="73"/>
    </row>
    <row r="198" spans="1:19" x14ac:dyDescent="0.35">
      <c r="B198" s="19"/>
      <c r="C198" s="19"/>
      <c r="D198" s="19"/>
      <c r="E198" s="24" t="s">
        <v>163</v>
      </c>
      <c r="F198" s="24" t="s">
        <v>164</v>
      </c>
      <c r="G198" s="25" t="s">
        <v>24</v>
      </c>
      <c r="H198" s="25" t="s">
        <v>24</v>
      </c>
      <c r="I198" s="25" t="s">
        <v>334</v>
      </c>
      <c r="J198" s="25" t="s">
        <v>332</v>
      </c>
      <c r="K198" s="25" t="s">
        <v>18</v>
      </c>
      <c r="L198" s="25" t="s">
        <v>333</v>
      </c>
      <c r="M198" s="25"/>
      <c r="N198" s="48">
        <f>95/5</f>
        <v>19</v>
      </c>
      <c r="O198" s="49">
        <f>4302/5</f>
        <v>860.4</v>
      </c>
      <c r="P198" s="50">
        <f>77*0.95</f>
        <v>73.149999999999991</v>
      </c>
      <c r="Q198" s="26">
        <v>0.1</v>
      </c>
      <c r="R198" s="25"/>
      <c r="S198" s="25" t="s">
        <v>325</v>
      </c>
    </row>
    <row r="199" spans="1:19" s="9" customFormat="1" x14ac:dyDescent="0.35">
      <c r="B199" s="19"/>
      <c r="C199" s="19"/>
      <c r="D199" s="19"/>
      <c r="E199" s="17"/>
      <c r="F199" s="17"/>
      <c r="N199" s="45"/>
      <c r="O199" s="46"/>
      <c r="P199" s="47"/>
      <c r="Q199" s="23"/>
    </row>
    <row r="200" spans="1:19" s="9" customFormat="1" x14ac:dyDescent="0.35">
      <c r="A200" s="2"/>
      <c r="B200" s="19"/>
      <c r="C200" s="15" t="s">
        <v>627</v>
      </c>
      <c r="D200" s="15"/>
      <c r="E200" s="27" t="s">
        <v>7</v>
      </c>
      <c r="F200" s="27" t="s">
        <v>158</v>
      </c>
      <c r="G200" s="28" t="s">
        <v>764</v>
      </c>
      <c r="H200" s="28" t="s">
        <v>151</v>
      </c>
      <c r="I200" s="28" t="s">
        <v>139</v>
      </c>
      <c r="J200" s="28"/>
      <c r="K200" s="28" t="s">
        <v>622</v>
      </c>
      <c r="L200" s="28" t="s">
        <v>290</v>
      </c>
      <c r="M200" s="28"/>
      <c r="N200" s="51"/>
      <c r="O200" s="38"/>
      <c r="P200" s="52"/>
      <c r="Q200" s="32">
        <v>0.7</v>
      </c>
      <c r="R200" s="28" t="s">
        <v>279</v>
      </c>
    </row>
    <row r="201" spans="1:19" s="9" customFormat="1" x14ac:dyDescent="0.35">
      <c r="A201" s="2"/>
      <c r="B201" s="14"/>
      <c r="C201" s="15"/>
      <c r="D201" s="15"/>
      <c r="E201" s="27"/>
      <c r="F201" s="27" t="s">
        <v>159</v>
      </c>
      <c r="G201" s="28" t="s">
        <v>764</v>
      </c>
      <c r="H201" s="28" t="s">
        <v>619</v>
      </c>
      <c r="I201" s="28" t="s">
        <v>618</v>
      </c>
      <c r="J201" s="28"/>
      <c r="K201" s="28" t="s">
        <v>622</v>
      </c>
      <c r="L201" s="28" t="s">
        <v>290</v>
      </c>
      <c r="M201" s="28"/>
      <c r="N201" s="51"/>
      <c r="O201" s="38"/>
      <c r="P201" s="52"/>
      <c r="Q201" s="32">
        <v>0.7</v>
      </c>
      <c r="R201" s="28" t="s">
        <v>279</v>
      </c>
    </row>
    <row r="202" spans="1:19" s="9" customFormat="1" x14ac:dyDescent="0.35">
      <c r="A202" s="2"/>
      <c r="B202" s="14"/>
      <c r="C202" s="15"/>
      <c r="D202" s="15"/>
      <c r="E202" s="27"/>
      <c r="F202" s="27"/>
      <c r="G202" s="2"/>
      <c r="H202" s="28"/>
      <c r="I202" s="28"/>
      <c r="J202" s="28"/>
      <c r="K202" s="28"/>
      <c r="L202" s="28"/>
      <c r="M202" s="28"/>
      <c r="N202" s="51"/>
      <c r="O202" s="38"/>
      <c r="P202" s="52"/>
      <c r="Q202" s="32"/>
      <c r="R202" s="28"/>
    </row>
    <row r="203" spans="1:19" s="9" customFormat="1" x14ac:dyDescent="0.35">
      <c r="A203" s="2"/>
      <c r="B203" s="14"/>
      <c r="C203" s="15"/>
      <c r="D203" s="15"/>
      <c r="E203" s="17" t="s">
        <v>5</v>
      </c>
      <c r="F203" s="17" t="s">
        <v>156</v>
      </c>
      <c r="G203" s="9" t="s">
        <v>151</v>
      </c>
      <c r="H203" s="9" t="s">
        <v>619</v>
      </c>
      <c r="I203" s="9" t="s">
        <v>190</v>
      </c>
      <c r="K203" s="9" t="s">
        <v>622</v>
      </c>
      <c r="L203" s="9" t="s">
        <v>291</v>
      </c>
      <c r="M203"/>
      <c r="N203" s="51"/>
      <c r="O203" s="38"/>
      <c r="P203" s="52"/>
      <c r="Q203" s="23">
        <v>0.7</v>
      </c>
      <c r="R203" s="9" t="s">
        <v>279</v>
      </c>
    </row>
    <row r="204" spans="1:19" s="9" customFormat="1" x14ac:dyDescent="0.35">
      <c r="A204" s="2"/>
      <c r="B204" s="14"/>
      <c r="C204" s="15"/>
      <c r="D204" s="15"/>
      <c r="E204" s="15"/>
      <c r="F204" s="17"/>
      <c r="N204" s="45"/>
      <c r="O204" s="46"/>
      <c r="P204" s="47"/>
      <c r="Q204" s="23"/>
    </row>
    <row r="205" spans="1:19" s="9" customFormat="1" x14ac:dyDescent="0.35">
      <c r="A205" s="2"/>
      <c r="B205" s="14"/>
      <c r="C205" s="15"/>
      <c r="D205" s="15"/>
      <c r="E205" s="24" t="s">
        <v>163</v>
      </c>
      <c r="F205" s="24" t="s">
        <v>620</v>
      </c>
      <c r="G205" s="25" t="s">
        <v>151</v>
      </c>
      <c r="H205" s="25" t="s">
        <v>619</v>
      </c>
      <c r="I205" s="25" t="s">
        <v>532</v>
      </c>
      <c r="K205" s="25" t="s">
        <v>622</v>
      </c>
      <c r="L205" s="25" t="s">
        <v>621</v>
      </c>
      <c r="N205" s="45"/>
      <c r="O205" s="46"/>
      <c r="P205" s="47"/>
      <c r="Q205" s="26">
        <v>0.7</v>
      </c>
      <c r="R205" s="25" t="s">
        <v>279</v>
      </c>
    </row>
    <row r="206" spans="1:19" s="9" customFormat="1" x14ac:dyDescent="0.35">
      <c r="A206" s="2"/>
      <c r="B206" s="14"/>
      <c r="C206" s="15"/>
      <c r="D206" s="15"/>
      <c r="E206" s="27"/>
      <c r="F206" s="27"/>
      <c r="G206" s="2"/>
      <c r="H206" s="28"/>
      <c r="I206" s="28"/>
      <c r="J206" s="28"/>
      <c r="K206" s="28"/>
      <c r="L206" s="28"/>
      <c r="M206" s="28"/>
      <c r="N206" s="51"/>
      <c r="O206" s="38"/>
      <c r="P206" s="52"/>
      <c r="Q206" s="32"/>
      <c r="R206" s="28"/>
    </row>
    <row r="207" spans="1:19" s="9" customFormat="1" x14ac:dyDescent="0.35">
      <c r="A207" s="2"/>
      <c r="B207" s="19"/>
      <c r="C207" s="15" t="s">
        <v>613</v>
      </c>
      <c r="D207" s="15" t="s">
        <v>590</v>
      </c>
      <c r="E207" s="27"/>
      <c r="F207" s="27"/>
      <c r="G207" s="2" t="s">
        <v>765</v>
      </c>
      <c r="M207" s="28"/>
      <c r="N207" s="51"/>
      <c r="O207" s="38"/>
      <c r="P207" s="52"/>
      <c r="Q207" s="22"/>
      <c r="R207"/>
    </row>
    <row r="208" spans="1:19" s="9" customFormat="1" x14ac:dyDescent="0.35">
      <c r="A208" s="2"/>
      <c r="B208" s="14"/>
      <c r="C208" s="15"/>
      <c r="D208" s="15" t="s">
        <v>591</v>
      </c>
      <c r="E208" s="15"/>
      <c r="F208" s="17"/>
      <c r="N208" s="45"/>
      <c r="O208" s="46"/>
      <c r="P208" s="47"/>
      <c r="Q208" s="23"/>
      <c r="S208"/>
    </row>
    <row r="209" spans="1:17" s="9" customFormat="1" x14ac:dyDescent="0.35">
      <c r="A209" s="2"/>
      <c r="B209" s="14"/>
      <c r="C209" s="19"/>
      <c r="D209" s="15" t="s">
        <v>597</v>
      </c>
      <c r="E209" s="15"/>
      <c r="F209" s="17"/>
      <c r="N209" s="45"/>
      <c r="O209" s="46"/>
      <c r="P209" s="47"/>
      <c r="Q209" s="23"/>
    </row>
    <row r="210" spans="1:17" s="9" customFormat="1" x14ac:dyDescent="0.35">
      <c r="A210" s="2"/>
      <c r="B210" s="19"/>
      <c r="C210" s="19"/>
      <c r="D210" s="19"/>
      <c r="E210" s="15"/>
      <c r="F210" s="17"/>
      <c r="N210" s="45"/>
      <c r="O210" s="46"/>
      <c r="P210" s="47"/>
      <c r="Q210" s="23"/>
    </row>
    <row r="211" spans="1:17" s="9" customFormat="1" x14ac:dyDescent="0.35">
      <c r="B211" s="19"/>
      <c r="C211" s="15" t="s">
        <v>614</v>
      </c>
      <c r="D211" s="15" t="s">
        <v>623</v>
      </c>
      <c r="E211" s="15"/>
      <c r="F211" s="17"/>
      <c r="N211" s="45"/>
      <c r="O211" s="46"/>
      <c r="P211" s="47"/>
      <c r="Q211" s="23"/>
    </row>
    <row r="212" spans="1:17" s="9" customFormat="1" x14ac:dyDescent="0.35">
      <c r="B212" s="19"/>
      <c r="C212" s="15"/>
      <c r="D212" s="15" t="s">
        <v>592</v>
      </c>
      <c r="E212" s="15"/>
      <c r="F212" s="17"/>
      <c r="N212" s="45"/>
      <c r="O212" s="46"/>
      <c r="P212" s="47"/>
      <c r="Q212" s="23"/>
    </row>
    <row r="213" spans="1:17" s="9" customFormat="1" x14ac:dyDescent="0.35">
      <c r="B213" s="19"/>
      <c r="C213" s="15"/>
      <c r="D213" s="15" t="s">
        <v>593</v>
      </c>
      <c r="E213" s="17"/>
      <c r="F213" s="17"/>
      <c r="N213" s="45"/>
      <c r="O213" s="46"/>
      <c r="P213" s="47"/>
      <c r="Q213" s="23"/>
    </row>
    <row r="214" spans="1:17" s="9" customFormat="1" x14ac:dyDescent="0.35">
      <c r="B214" s="19"/>
      <c r="C214" s="15"/>
      <c r="D214" s="15" t="s">
        <v>594</v>
      </c>
      <c r="E214" s="17"/>
      <c r="F214" s="17"/>
      <c r="N214" s="45"/>
      <c r="O214" s="46"/>
      <c r="P214" s="47"/>
      <c r="Q214" s="23"/>
    </row>
    <row r="215" spans="1:17" s="9" customFormat="1" x14ac:dyDescent="0.35">
      <c r="B215" s="19"/>
      <c r="C215" s="15"/>
      <c r="D215" s="15" t="s">
        <v>595</v>
      </c>
      <c r="E215" s="17"/>
      <c r="F215" s="17"/>
      <c r="N215" s="45"/>
      <c r="O215" s="46"/>
      <c r="P215" s="47"/>
      <c r="Q215" s="23"/>
    </row>
    <row r="216" spans="1:17" s="9" customFormat="1" x14ac:dyDescent="0.35">
      <c r="B216" s="19"/>
      <c r="C216" s="15"/>
      <c r="D216" s="15" t="s">
        <v>596</v>
      </c>
      <c r="E216" s="17"/>
      <c r="F216" s="17"/>
      <c r="N216" s="45"/>
      <c r="O216" s="46"/>
      <c r="P216" s="47"/>
      <c r="Q216" s="23"/>
    </row>
    <row r="217" spans="1:17" s="9" customFormat="1" x14ac:dyDescent="0.35">
      <c r="B217" s="19"/>
      <c r="C217" s="15"/>
      <c r="D217" s="19"/>
      <c r="E217" s="17"/>
      <c r="F217" s="17"/>
      <c r="N217" s="45"/>
      <c r="O217" s="46"/>
      <c r="P217" s="47"/>
      <c r="Q217" s="23"/>
    </row>
    <row r="218" spans="1:17" s="9" customFormat="1" x14ac:dyDescent="0.35">
      <c r="B218" s="19"/>
      <c r="C218" s="15" t="s">
        <v>615</v>
      </c>
      <c r="D218" s="15" t="s">
        <v>598</v>
      </c>
      <c r="E218" s="17"/>
      <c r="F218" s="17"/>
      <c r="N218" s="45"/>
      <c r="O218" s="46"/>
      <c r="P218" s="47"/>
      <c r="Q218" s="23"/>
    </row>
    <row r="219" spans="1:17" s="9" customFormat="1" x14ac:dyDescent="0.35">
      <c r="B219" s="19"/>
      <c r="C219" s="15"/>
      <c r="D219" s="15" t="s">
        <v>599</v>
      </c>
      <c r="E219" s="17"/>
      <c r="F219" s="17"/>
      <c r="N219" s="45"/>
      <c r="O219" s="46"/>
      <c r="P219" s="47"/>
      <c r="Q219" s="23"/>
    </row>
    <row r="220" spans="1:17" s="9" customFormat="1" x14ac:dyDescent="0.35">
      <c r="B220" s="19"/>
      <c r="C220" s="15"/>
      <c r="D220" s="15" t="s">
        <v>600</v>
      </c>
      <c r="E220" s="17"/>
      <c r="F220" s="17"/>
      <c r="N220" s="45"/>
      <c r="O220" s="46"/>
      <c r="P220" s="47"/>
      <c r="Q220" s="23"/>
    </row>
    <row r="221" spans="1:17" s="9" customFormat="1" x14ac:dyDescent="0.35">
      <c r="B221" s="19"/>
      <c r="C221" s="15"/>
      <c r="D221" s="15" t="s">
        <v>601</v>
      </c>
      <c r="E221" s="17"/>
      <c r="F221" s="17"/>
      <c r="N221" s="45"/>
      <c r="O221" s="46"/>
      <c r="P221" s="47"/>
      <c r="Q221" s="23"/>
    </row>
    <row r="222" spans="1:17" s="9" customFormat="1" x14ac:dyDescent="0.35">
      <c r="B222" s="19"/>
      <c r="C222" s="15"/>
      <c r="D222" s="15" t="s">
        <v>602</v>
      </c>
      <c r="E222" s="17"/>
      <c r="F222" s="17"/>
      <c r="N222" s="45"/>
      <c r="O222" s="46"/>
      <c r="P222" s="47"/>
      <c r="Q222" s="23"/>
    </row>
    <row r="223" spans="1:17" s="9" customFormat="1" x14ac:dyDescent="0.35">
      <c r="B223" s="19"/>
      <c r="C223" s="15"/>
      <c r="D223" s="15" t="s">
        <v>603</v>
      </c>
      <c r="E223" s="17"/>
      <c r="F223" s="17"/>
      <c r="N223" s="45"/>
      <c r="O223" s="46"/>
      <c r="P223" s="47"/>
      <c r="Q223" s="23"/>
    </row>
    <row r="224" spans="1:17" s="9" customFormat="1" x14ac:dyDescent="0.35">
      <c r="B224" s="19"/>
      <c r="C224" s="15"/>
      <c r="D224" s="15" t="s">
        <v>604</v>
      </c>
      <c r="E224" s="17"/>
      <c r="F224" s="17"/>
      <c r="N224" s="45"/>
      <c r="O224" s="46"/>
      <c r="P224" s="47"/>
      <c r="Q224" s="23"/>
    </row>
    <row r="225" spans="2:18" s="9" customFormat="1" x14ac:dyDescent="0.35">
      <c r="B225" s="19"/>
      <c r="C225" s="15"/>
      <c r="D225" s="19"/>
      <c r="E225" s="17"/>
      <c r="F225" s="17"/>
      <c r="N225" s="45"/>
      <c r="O225" s="46"/>
      <c r="P225" s="47"/>
      <c r="Q225" s="23"/>
    </row>
    <row r="226" spans="2:18" s="9" customFormat="1" x14ac:dyDescent="0.35">
      <c r="B226" s="19"/>
      <c r="C226" s="15" t="s">
        <v>616</v>
      </c>
      <c r="D226" s="15" t="s">
        <v>584</v>
      </c>
      <c r="E226" s="17"/>
      <c r="F226" s="17"/>
      <c r="N226" s="45"/>
      <c r="O226" s="46"/>
      <c r="P226" s="47"/>
      <c r="Q226" s="23"/>
    </row>
    <row r="227" spans="2:18" s="9" customFormat="1" x14ac:dyDescent="0.35">
      <c r="B227" s="19"/>
      <c r="C227" s="15"/>
      <c r="D227" s="15" t="s">
        <v>585</v>
      </c>
      <c r="E227" s="17"/>
      <c r="F227" s="17"/>
      <c r="N227" s="45"/>
      <c r="O227" s="46"/>
      <c r="P227" s="47"/>
      <c r="Q227" s="23"/>
    </row>
    <row r="228" spans="2:18" s="9" customFormat="1" x14ac:dyDescent="0.35">
      <c r="B228" s="19"/>
      <c r="C228" s="15"/>
      <c r="D228" s="19"/>
      <c r="E228" s="17"/>
      <c r="F228" s="17"/>
      <c r="N228" s="45"/>
      <c r="O228" s="46"/>
      <c r="P228" s="47"/>
      <c r="Q228" s="23"/>
    </row>
    <row r="229" spans="2:18" s="9" customFormat="1" x14ac:dyDescent="0.35">
      <c r="B229" s="19"/>
      <c r="C229" s="15" t="s">
        <v>617</v>
      </c>
      <c r="D229" s="15" t="s">
        <v>605</v>
      </c>
      <c r="E229" s="17"/>
      <c r="F229" s="17"/>
      <c r="N229" s="45"/>
      <c r="O229" s="46"/>
      <c r="P229" s="47"/>
      <c r="Q229" s="23"/>
    </row>
    <row r="230" spans="2:18" s="9" customFormat="1" x14ac:dyDescent="0.35">
      <c r="B230" s="19"/>
      <c r="C230" s="15"/>
      <c r="D230" s="15" t="s">
        <v>606</v>
      </c>
      <c r="E230" s="17"/>
      <c r="F230" s="17"/>
      <c r="N230" s="45"/>
      <c r="O230" s="46"/>
      <c r="P230" s="47"/>
      <c r="Q230" s="23"/>
    </row>
    <row r="231" spans="2:18" s="9" customFormat="1" x14ac:dyDescent="0.35">
      <c r="B231" s="19"/>
      <c r="C231" s="15"/>
      <c r="D231" s="15" t="s">
        <v>607</v>
      </c>
      <c r="E231" s="17"/>
      <c r="F231" s="17"/>
      <c r="N231" s="45"/>
      <c r="O231" s="46"/>
      <c r="P231" s="47"/>
      <c r="Q231" s="23"/>
    </row>
    <row r="232" spans="2:18" s="9" customFormat="1" x14ac:dyDescent="0.35">
      <c r="B232" s="19"/>
      <c r="C232" s="15"/>
      <c r="D232" s="15" t="s">
        <v>608</v>
      </c>
      <c r="E232" s="17"/>
      <c r="F232" s="17"/>
      <c r="N232" s="45"/>
      <c r="O232" s="46"/>
      <c r="P232" s="47"/>
      <c r="Q232" s="23"/>
    </row>
    <row r="233" spans="2:18" s="9" customFormat="1" x14ac:dyDescent="0.35">
      <c r="B233" s="19"/>
      <c r="C233" s="15"/>
      <c r="D233" s="15" t="s">
        <v>609</v>
      </c>
      <c r="E233" s="17"/>
      <c r="F233" s="17"/>
      <c r="N233" s="45"/>
      <c r="O233" s="46"/>
      <c r="P233" s="47"/>
      <c r="Q233" s="23"/>
    </row>
    <row r="234" spans="2:18" s="9" customFormat="1" x14ac:dyDescent="0.35">
      <c r="B234" s="19"/>
      <c r="C234" s="15"/>
      <c r="D234" s="15" t="s">
        <v>610</v>
      </c>
      <c r="E234" s="17"/>
      <c r="F234" s="17"/>
      <c r="N234" s="45"/>
      <c r="O234" s="46"/>
      <c r="P234" s="47"/>
      <c r="Q234" s="23"/>
    </row>
    <row r="235" spans="2:18" s="9" customFormat="1" x14ac:dyDescent="0.35">
      <c r="B235" s="19"/>
      <c r="C235" s="15"/>
      <c r="D235" s="15" t="s">
        <v>611</v>
      </c>
      <c r="E235" s="17"/>
      <c r="F235" s="17"/>
      <c r="N235" s="45"/>
      <c r="O235" s="46"/>
      <c r="P235" s="47"/>
      <c r="Q235" s="23"/>
    </row>
    <row r="236" spans="2:18" s="9" customFormat="1" x14ac:dyDescent="0.35">
      <c r="B236" s="19"/>
      <c r="C236" s="15"/>
      <c r="D236" s="15" t="s">
        <v>612</v>
      </c>
      <c r="E236" s="17"/>
      <c r="F236" s="17"/>
      <c r="N236" s="45"/>
      <c r="O236" s="46"/>
      <c r="P236" s="47"/>
      <c r="Q236" s="23"/>
    </row>
    <row r="237" spans="2:18" s="9" customFormat="1" x14ac:dyDescent="0.35">
      <c r="B237" s="19"/>
      <c r="C237" s="19"/>
      <c r="D237" s="19"/>
      <c r="E237" s="17"/>
      <c r="F237" s="17"/>
      <c r="N237" s="45"/>
      <c r="O237" s="46"/>
      <c r="P237" s="47"/>
      <c r="Q237" s="23"/>
    </row>
    <row r="238" spans="2:18" s="9" customFormat="1" x14ac:dyDescent="0.35">
      <c r="B238" s="14" t="s">
        <v>65</v>
      </c>
      <c r="C238" s="15"/>
      <c r="D238" s="15"/>
      <c r="E238" s="17"/>
      <c r="F238" s="17"/>
      <c r="N238" s="45"/>
      <c r="O238" s="46"/>
      <c r="P238" s="47"/>
      <c r="Q238" s="23"/>
    </row>
    <row r="239" spans="2:18" x14ac:dyDescent="0.35">
      <c r="C239" s="15" t="s">
        <v>66</v>
      </c>
      <c r="E239" s="27" t="s">
        <v>7</v>
      </c>
      <c r="F239" s="27" t="s">
        <v>158</v>
      </c>
      <c r="G239" s="28" t="s">
        <v>151</v>
      </c>
      <c r="H239" s="28" t="s">
        <v>151</v>
      </c>
      <c r="I239" s="28" t="s">
        <v>139</v>
      </c>
      <c r="J239" s="28"/>
      <c r="K239" s="28" t="s">
        <v>340</v>
      </c>
      <c r="L239" s="28" t="s">
        <v>66</v>
      </c>
      <c r="M239" s="28"/>
      <c r="N239" s="53"/>
      <c r="O239" s="54"/>
      <c r="P239" s="55"/>
      <c r="Q239" s="32">
        <v>0.4</v>
      </c>
      <c r="R239" s="36" t="s">
        <v>113</v>
      </c>
    </row>
    <row r="240" spans="2:18" x14ac:dyDescent="0.35">
      <c r="E240" s="27"/>
      <c r="F240" s="27" t="s">
        <v>159</v>
      </c>
      <c r="G240" s="28" t="s">
        <v>151</v>
      </c>
      <c r="H240" s="28" t="s">
        <v>151</v>
      </c>
      <c r="I240" s="28" t="s">
        <v>139</v>
      </c>
      <c r="J240" s="28"/>
      <c r="K240" s="28" t="s">
        <v>341</v>
      </c>
      <c r="L240" s="28" t="s">
        <v>66</v>
      </c>
      <c r="M240" s="28"/>
      <c r="N240" s="53"/>
      <c r="O240" s="54"/>
      <c r="P240" s="55"/>
      <c r="Q240" s="32">
        <v>0.4</v>
      </c>
      <c r="R240" s="28"/>
    </row>
    <row r="241" spans="1:18" x14ac:dyDescent="0.35">
      <c r="E241" s="27"/>
      <c r="F241" s="27" t="s">
        <v>159</v>
      </c>
      <c r="G241" s="28" t="s">
        <v>151</v>
      </c>
      <c r="H241" s="28" t="s">
        <v>151</v>
      </c>
      <c r="I241" s="28" t="s">
        <v>139</v>
      </c>
      <c r="J241" s="28"/>
      <c r="K241" s="28" t="s">
        <v>342</v>
      </c>
      <c r="L241" s="28" t="s">
        <v>66</v>
      </c>
      <c r="M241" s="28"/>
      <c r="N241" s="53"/>
      <c r="O241" s="54"/>
      <c r="P241" s="55"/>
      <c r="Q241" s="32">
        <v>0</v>
      </c>
    </row>
    <row r="242" spans="1:18" x14ac:dyDescent="0.35">
      <c r="A242" s="2"/>
      <c r="E242" s="27"/>
      <c r="F242" s="27" t="s">
        <v>159</v>
      </c>
      <c r="G242" s="28" t="s">
        <v>338</v>
      </c>
      <c r="H242" s="28" t="s">
        <v>339</v>
      </c>
      <c r="I242" s="28" t="s">
        <v>799</v>
      </c>
      <c r="J242" s="28" t="s">
        <v>343</v>
      </c>
      <c r="K242" s="28" t="s">
        <v>18</v>
      </c>
      <c r="L242" s="28" t="s">
        <v>66</v>
      </c>
      <c r="M242" s="28"/>
      <c r="N242" s="59">
        <v>8</v>
      </c>
      <c r="O242" s="60">
        <v>192</v>
      </c>
      <c r="P242" s="61">
        <v>2</v>
      </c>
      <c r="Q242" s="32">
        <v>0.4</v>
      </c>
    </row>
    <row r="243" spans="1:18" x14ac:dyDescent="0.35">
      <c r="C243" s="20"/>
      <c r="D243" s="20"/>
      <c r="E243" s="27"/>
      <c r="F243" s="27" t="s">
        <v>160</v>
      </c>
      <c r="G243" s="28" t="s">
        <v>151</v>
      </c>
      <c r="H243" s="28" t="s">
        <v>151</v>
      </c>
      <c r="I243" s="35" t="s">
        <v>553</v>
      </c>
      <c r="J243" s="35"/>
      <c r="K243" s="35"/>
      <c r="L243" s="35"/>
      <c r="M243" s="28"/>
      <c r="N243" s="53"/>
      <c r="O243" s="54"/>
      <c r="P243" s="55"/>
    </row>
    <row r="244" spans="1:18" x14ac:dyDescent="0.35">
      <c r="N244" s="51"/>
      <c r="O244" s="38"/>
      <c r="P244" s="52"/>
    </row>
    <row r="245" spans="1:18" x14ac:dyDescent="0.35">
      <c r="A245" s="2"/>
      <c r="E245" s="17" t="s">
        <v>5</v>
      </c>
      <c r="F245" s="17" t="s">
        <v>743</v>
      </c>
      <c r="G245" s="9" t="s">
        <v>137</v>
      </c>
      <c r="H245" s="9" t="s">
        <v>24</v>
      </c>
      <c r="I245" s="10" t="s">
        <v>462</v>
      </c>
      <c r="J245" s="9" t="s">
        <v>807</v>
      </c>
      <c r="K245" s="9" t="s">
        <v>345</v>
      </c>
      <c r="L245" s="9" t="s">
        <v>346</v>
      </c>
      <c r="M245" s="9"/>
      <c r="N245" s="45">
        <f>235*0.9</f>
        <v>211.5</v>
      </c>
      <c r="O245" s="46">
        <f>18.7*238*0.9</f>
        <v>4005.5399999999995</v>
      </c>
      <c r="P245" s="50">
        <f>28*0.9</f>
        <v>25.2</v>
      </c>
      <c r="Q245" s="23">
        <v>0.1</v>
      </c>
    </row>
    <row r="246" spans="1:18" x14ac:dyDescent="0.35">
      <c r="E246" s="17"/>
      <c r="F246" s="17" t="s">
        <v>156</v>
      </c>
      <c r="G246" s="9" t="s">
        <v>151</v>
      </c>
      <c r="H246" s="9" t="s">
        <v>151</v>
      </c>
      <c r="I246" s="9" t="s">
        <v>190</v>
      </c>
      <c r="J246" s="9" t="s">
        <v>778</v>
      </c>
      <c r="K246" s="9" t="s">
        <v>344</v>
      </c>
      <c r="L246" s="9" t="s">
        <v>67</v>
      </c>
      <c r="M246" s="9"/>
      <c r="N246" s="45"/>
      <c r="O246" s="46"/>
      <c r="P246" s="73"/>
      <c r="Q246" s="23">
        <v>0.1</v>
      </c>
    </row>
    <row r="247" spans="1:18" x14ac:dyDescent="0.35">
      <c r="E247" s="17"/>
      <c r="F247" s="17"/>
      <c r="G247" s="9"/>
      <c r="H247" s="9"/>
      <c r="I247" s="9"/>
      <c r="J247" s="9"/>
      <c r="K247" s="9"/>
      <c r="L247" s="9"/>
      <c r="M247" s="9"/>
      <c r="N247" s="45"/>
      <c r="O247" s="46"/>
      <c r="P247" s="73"/>
    </row>
    <row r="248" spans="1:18" x14ac:dyDescent="0.35">
      <c r="E248" s="24" t="s">
        <v>163</v>
      </c>
      <c r="F248" s="24" t="s">
        <v>148</v>
      </c>
      <c r="G248" s="25" t="s">
        <v>151</v>
      </c>
      <c r="H248" s="25" t="s">
        <v>151</v>
      </c>
      <c r="I248" s="25" t="s">
        <v>350</v>
      </c>
      <c r="J248" s="25"/>
      <c r="K248" s="25" t="s">
        <v>409</v>
      </c>
      <c r="L248" s="25" t="s">
        <v>352</v>
      </c>
      <c r="M248" s="25"/>
      <c r="N248" s="48"/>
      <c r="O248" s="46"/>
      <c r="P248" s="73"/>
      <c r="Q248" s="26">
        <v>0</v>
      </c>
    </row>
    <row r="249" spans="1:18" x14ac:dyDescent="0.35">
      <c r="E249" s="24"/>
      <c r="F249" s="24" t="s">
        <v>681</v>
      </c>
      <c r="G249" s="25" t="s">
        <v>135</v>
      </c>
      <c r="H249" s="25" t="s">
        <v>24</v>
      </c>
      <c r="I249" s="25" t="s">
        <v>777</v>
      </c>
      <c r="J249" s="25" t="s">
        <v>779</v>
      </c>
      <c r="K249" s="25" t="s">
        <v>345</v>
      </c>
      <c r="L249" s="25" t="s">
        <v>459</v>
      </c>
      <c r="M249" s="25"/>
      <c r="N249" s="48">
        <f>23*0.87</f>
        <v>20.010000000000002</v>
      </c>
      <c r="O249" s="49">
        <f>17.5*239*0.87</f>
        <v>3638.7750000000001</v>
      </c>
      <c r="P249" s="50">
        <f>7*0.87</f>
        <v>6.09</v>
      </c>
      <c r="Q249" s="26">
        <v>0.1</v>
      </c>
    </row>
    <row r="250" spans="1:18" x14ac:dyDescent="0.35">
      <c r="A250" s="2"/>
      <c r="E250" s="24"/>
      <c r="F250" s="24" t="s">
        <v>702</v>
      </c>
      <c r="G250" s="25" t="s">
        <v>338</v>
      </c>
      <c r="H250" s="25" t="s">
        <v>339</v>
      </c>
      <c r="I250" s="25" t="s">
        <v>801</v>
      </c>
      <c r="J250" s="25" t="s">
        <v>343</v>
      </c>
      <c r="K250" s="25" t="s">
        <v>345</v>
      </c>
      <c r="L250" s="25" t="s">
        <v>800</v>
      </c>
      <c r="M250" s="25"/>
      <c r="N250" s="48">
        <f>23*0.87</f>
        <v>20.010000000000002</v>
      </c>
      <c r="O250" s="49">
        <f>17.5*239*0.87</f>
        <v>3638.7750000000001</v>
      </c>
      <c r="P250" s="50">
        <f>7*0.87</f>
        <v>6.09</v>
      </c>
      <c r="Q250" s="26">
        <v>0.1</v>
      </c>
    </row>
    <row r="251" spans="1:18" x14ac:dyDescent="0.35">
      <c r="E251" s="24"/>
      <c r="F251" s="24" t="s">
        <v>147</v>
      </c>
      <c r="G251" s="25" t="s">
        <v>151</v>
      </c>
      <c r="H251" s="25" t="s">
        <v>151</v>
      </c>
      <c r="I251" s="25" t="s">
        <v>349</v>
      </c>
      <c r="J251" s="25"/>
      <c r="K251" s="25" t="s">
        <v>351</v>
      </c>
      <c r="L251" s="25" t="s">
        <v>353</v>
      </c>
      <c r="M251" s="25"/>
      <c r="N251" s="48"/>
      <c r="O251" s="38"/>
      <c r="P251" s="50"/>
      <c r="Q251" s="26">
        <v>0.1</v>
      </c>
    </row>
    <row r="252" spans="1:18" x14ac:dyDescent="0.35">
      <c r="F252" s="24" t="s">
        <v>164</v>
      </c>
      <c r="G252" s="25" t="s">
        <v>135</v>
      </c>
      <c r="H252" s="25" t="s">
        <v>24</v>
      </c>
      <c r="I252" s="25" t="s">
        <v>347</v>
      </c>
      <c r="J252" s="25" t="s">
        <v>780</v>
      </c>
      <c r="K252" s="25" t="s">
        <v>18</v>
      </c>
      <c r="L252" s="25" t="s">
        <v>463</v>
      </c>
      <c r="M252" s="25"/>
      <c r="N252" s="48">
        <f>23*0.87</f>
        <v>20.010000000000002</v>
      </c>
      <c r="O252" s="49">
        <f>17.5*239*0.87</f>
        <v>3638.7750000000001</v>
      </c>
      <c r="P252" s="50">
        <f t="shared" ref="P252" si="0">7*0.87</f>
        <v>6.09</v>
      </c>
      <c r="Q252" s="26">
        <v>0.1</v>
      </c>
    </row>
    <row r="253" spans="1:18" x14ac:dyDescent="0.35">
      <c r="B253" s="19"/>
      <c r="F253" s="24" t="s">
        <v>164</v>
      </c>
      <c r="G253" s="25" t="s">
        <v>136</v>
      </c>
      <c r="H253" s="25" t="s">
        <v>24</v>
      </c>
      <c r="I253" s="25" t="s">
        <v>348</v>
      </c>
      <c r="J253" s="25" t="s">
        <v>134</v>
      </c>
      <c r="K253" s="25" t="s">
        <v>18</v>
      </c>
      <c r="L253" s="25" t="s">
        <v>354</v>
      </c>
      <c r="N253" s="48">
        <f>91/5</f>
        <v>18.2</v>
      </c>
      <c r="O253" s="49">
        <f>4359/5</f>
        <v>871.8</v>
      </c>
      <c r="P253" s="50">
        <v>3</v>
      </c>
    </row>
    <row r="254" spans="1:18" s="9" customFormat="1" x14ac:dyDescent="0.35">
      <c r="B254" s="14"/>
      <c r="C254" s="19"/>
      <c r="D254" s="19"/>
      <c r="E254" s="17"/>
      <c r="F254" s="17"/>
      <c r="N254" s="45"/>
      <c r="O254" s="46"/>
      <c r="P254" s="47"/>
      <c r="Q254" s="23"/>
    </row>
    <row r="255" spans="1:18" x14ac:dyDescent="0.35">
      <c r="C255" s="15" t="s">
        <v>68</v>
      </c>
      <c r="E255" s="27" t="s">
        <v>7</v>
      </c>
      <c r="F255" s="27" t="s">
        <v>158</v>
      </c>
      <c r="G255" s="28" t="s">
        <v>151</v>
      </c>
      <c r="H255" s="28" t="s">
        <v>151</v>
      </c>
      <c r="I255" s="28" t="s">
        <v>139</v>
      </c>
      <c r="J255" s="28"/>
      <c r="K255" s="28" t="s">
        <v>104</v>
      </c>
      <c r="L255" s="28" t="s">
        <v>356</v>
      </c>
      <c r="M255" s="28"/>
      <c r="N255" s="53"/>
      <c r="O255" s="54"/>
      <c r="P255" s="55"/>
      <c r="Q255" s="32">
        <v>0.43</v>
      </c>
      <c r="R255" s="36" t="s">
        <v>359</v>
      </c>
    </row>
    <row r="256" spans="1:18" x14ac:dyDescent="0.35">
      <c r="A256" s="2"/>
      <c r="E256" s="27"/>
      <c r="F256" s="27" t="s">
        <v>802</v>
      </c>
      <c r="G256" s="28" t="s">
        <v>151</v>
      </c>
      <c r="H256" s="28" t="s">
        <v>151</v>
      </c>
      <c r="I256" s="28" t="s">
        <v>635</v>
      </c>
      <c r="J256" s="28"/>
      <c r="K256" s="28" t="s">
        <v>105</v>
      </c>
      <c r="L256" s="28" t="s">
        <v>356</v>
      </c>
      <c r="M256" s="28"/>
      <c r="N256" s="53"/>
      <c r="O256" s="54"/>
      <c r="P256" s="55"/>
      <c r="Q256" s="32">
        <v>0.43</v>
      </c>
      <c r="R256" s="28"/>
    </row>
    <row r="257" spans="1:18" x14ac:dyDescent="0.35">
      <c r="E257" s="27"/>
      <c r="F257" s="27" t="s">
        <v>159</v>
      </c>
      <c r="G257" s="28" t="s">
        <v>151</v>
      </c>
      <c r="H257" s="28" t="s">
        <v>151</v>
      </c>
      <c r="I257" s="28" t="s">
        <v>634</v>
      </c>
      <c r="J257" s="28"/>
      <c r="K257" s="28" t="s">
        <v>106</v>
      </c>
      <c r="L257" s="28" t="s">
        <v>356</v>
      </c>
      <c r="M257" s="28"/>
      <c r="N257" s="53"/>
      <c r="O257" s="54"/>
      <c r="P257" s="55"/>
      <c r="Q257" s="32">
        <v>0.43</v>
      </c>
    </row>
    <row r="258" spans="1:18" x14ac:dyDescent="0.35">
      <c r="E258" s="27"/>
      <c r="F258" s="27" t="s">
        <v>159</v>
      </c>
      <c r="G258" s="28" t="s">
        <v>338</v>
      </c>
      <c r="H258" s="28" t="s">
        <v>151</v>
      </c>
      <c r="I258" s="28" t="s">
        <v>139</v>
      </c>
      <c r="J258" s="28"/>
      <c r="K258" s="28" t="s">
        <v>355</v>
      </c>
      <c r="L258" s="28" t="s">
        <v>356</v>
      </c>
      <c r="M258" s="28"/>
      <c r="N258" s="59"/>
      <c r="O258" s="60"/>
      <c r="P258" s="61"/>
      <c r="Q258" s="32">
        <v>0</v>
      </c>
    </row>
    <row r="259" spans="1:18" x14ac:dyDescent="0.35">
      <c r="C259" s="20"/>
      <c r="D259" s="20"/>
      <c r="E259" s="27"/>
      <c r="F259" s="27" t="s">
        <v>160</v>
      </c>
      <c r="G259" s="28" t="s">
        <v>151</v>
      </c>
      <c r="H259" s="28" t="s">
        <v>151</v>
      </c>
      <c r="I259" s="35" t="s">
        <v>553</v>
      </c>
      <c r="J259" s="35"/>
      <c r="K259" s="35"/>
      <c r="L259" s="35"/>
      <c r="M259" s="28"/>
      <c r="N259" s="53"/>
      <c r="O259" s="54"/>
      <c r="P259" s="55"/>
    </row>
    <row r="260" spans="1:18" x14ac:dyDescent="0.35">
      <c r="N260" s="51"/>
      <c r="O260" s="38"/>
      <c r="P260" s="52"/>
    </row>
    <row r="261" spans="1:18" x14ac:dyDescent="0.35">
      <c r="E261" s="17" t="s">
        <v>5</v>
      </c>
      <c r="F261" s="17" t="s">
        <v>153</v>
      </c>
      <c r="G261" s="9" t="s">
        <v>151</v>
      </c>
      <c r="H261" s="9" t="s">
        <v>24</v>
      </c>
      <c r="I261" s="9" t="s">
        <v>372</v>
      </c>
      <c r="J261" s="9" t="s">
        <v>358</v>
      </c>
      <c r="K261" s="9" t="s">
        <v>360</v>
      </c>
      <c r="L261" s="9" t="s">
        <v>361</v>
      </c>
      <c r="M261" s="9"/>
      <c r="N261" s="45">
        <f>70*0.92</f>
        <v>64.400000000000006</v>
      </c>
      <c r="O261" s="46">
        <f>19.8*239*0.92</f>
        <v>4353.6239999999998</v>
      </c>
      <c r="P261" s="50">
        <f>20*0.92</f>
        <v>18.400000000000002</v>
      </c>
      <c r="Q261" s="23">
        <v>0.1</v>
      </c>
    </row>
    <row r="262" spans="1:18" x14ac:dyDescent="0.35">
      <c r="E262" s="17"/>
      <c r="F262" s="17" t="s">
        <v>709</v>
      </c>
      <c r="G262" s="9" t="s">
        <v>151</v>
      </c>
      <c r="H262" s="9" t="s">
        <v>6</v>
      </c>
      <c r="I262" s="10" t="s">
        <v>357</v>
      </c>
      <c r="J262" s="9" t="s">
        <v>766</v>
      </c>
      <c r="K262" s="9" t="s">
        <v>360</v>
      </c>
      <c r="L262" s="9" t="s">
        <v>361</v>
      </c>
      <c r="M262" s="9"/>
      <c r="N262" s="45">
        <v>481</v>
      </c>
      <c r="O262" s="46">
        <v>4320</v>
      </c>
      <c r="P262" s="47">
        <v>10</v>
      </c>
      <c r="Q262" s="23">
        <v>0.43</v>
      </c>
    </row>
    <row r="263" spans="1:18" x14ac:dyDescent="0.35">
      <c r="E263" s="17"/>
      <c r="F263" s="17" t="s">
        <v>156</v>
      </c>
      <c r="G263" s="9" t="s">
        <v>151</v>
      </c>
      <c r="H263" s="9" t="s">
        <v>151</v>
      </c>
      <c r="I263" s="9" t="s">
        <v>190</v>
      </c>
      <c r="J263" s="9" t="s">
        <v>359</v>
      </c>
      <c r="K263" s="9" t="s">
        <v>370</v>
      </c>
      <c r="L263" s="9" t="s">
        <v>369</v>
      </c>
      <c r="M263" s="9"/>
      <c r="N263" s="45"/>
      <c r="O263" s="46"/>
      <c r="P263" s="47"/>
      <c r="Q263" s="23">
        <v>0.43</v>
      </c>
    </row>
    <row r="264" spans="1:18" x14ac:dyDescent="0.35">
      <c r="E264" s="17"/>
      <c r="F264" s="17" t="s">
        <v>156</v>
      </c>
      <c r="G264" s="9" t="s">
        <v>151</v>
      </c>
      <c r="H264" s="9" t="s">
        <v>151</v>
      </c>
      <c r="I264" s="9" t="s">
        <v>190</v>
      </c>
      <c r="J264" s="9" t="s">
        <v>359</v>
      </c>
      <c r="K264" s="9" t="s">
        <v>371</v>
      </c>
      <c r="L264" s="9" t="s">
        <v>369</v>
      </c>
      <c r="M264" s="9"/>
      <c r="N264" s="45"/>
      <c r="O264" s="46"/>
      <c r="P264" s="47"/>
      <c r="Q264" s="23">
        <v>0</v>
      </c>
    </row>
    <row r="265" spans="1:18" x14ac:dyDescent="0.35">
      <c r="E265" s="17"/>
      <c r="F265" s="17" t="s">
        <v>133</v>
      </c>
      <c r="G265" s="9" t="s">
        <v>165</v>
      </c>
      <c r="H265" s="9" t="s">
        <v>24</v>
      </c>
      <c r="I265" s="9" t="s">
        <v>166</v>
      </c>
      <c r="J265" s="9" t="s">
        <v>781</v>
      </c>
      <c r="K265" s="9" t="s">
        <v>18</v>
      </c>
      <c r="L265" s="9" t="s">
        <v>126</v>
      </c>
      <c r="M265" s="9"/>
      <c r="N265" s="45">
        <f>111*0.91</f>
        <v>101.01</v>
      </c>
      <c r="O265" s="46">
        <f>17.6*239*0.91</f>
        <v>3827.8240000000005</v>
      </c>
      <c r="P265" s="47">
        <f>17*0.91</f>
        <v>15.47</v>
      </c>
      <c r="Q265" s="23">
        <v>0.1</v>
      </c>
    </row>
    <row r="266" spans="1:18" x14ac:dyDescent="0.35">
      <c r="E266" s="17"/>
      <c r="M266" s="9"/>
      <c r="N266" s="45"/>
      <c r="O266" s="46"/>
      <c r="P266" s="73"/>
    </row>
    <row r="267" spans="1:18" x14ac:dyDescent="0.35">
      <c r="E267" s="24" t="s">
        <v>163</v>
      </c>
      <c r="F267" s="24" t="s">
        <v>148</v>
      </c>
      <c r="G267" s="25" t="s">
        <v>151</v>
      </c>
      <c r="H267" s="25" t="s">
        <v>151</v>
      </c>
      <c r="I267" s="25" t="s">
        <v>374</v>
      </c>
      <c r="J267" s="25"/>
      <c r="K267" s="25" t="s">
        <v>410</v>
      </c>
      <c r="L267" s="25" t="s">
        <v>352</v>
      </c>
      <c r="M267" s="25"/>
      <c r="N267" s="48"/>
      <c r="O267" s="49"/>
      <c r="P267" s="73"/>
      <c r="Q267" s="26">
        <v>0</v>
      </c>
    </row>
    <row r="268" spans="1:18" x14ac:dyDescent="0.35">
      <c r="E268" s="24"/>
      <c r="F268" s="24" t="s">
        <v>681</v>
      </c>
      <c r="G268" s="25" t="s">
        <v>151</v>
      </c>
      <c r="H268" s="25" t="s">
        <v>24</v>
      </c>
      <c r="I268" s="25" t="s">
        <v>372</v>
      </c>
      <c r="J268" s="25" t="s">
        <v>358</v>
      </c>
      <c r="K268" s="25" t="s">
        <v>360</v>
      </c>
      <c r="L268" s="25" t="s">
        <v>373</v>
      </c>
      <c r="M268" s="25"/>
      <c r="N268" s="48">
        <f>70*0.92</f>
        <v>64.400000000000006</v>
      </c>
      <c r="O268" s="49">
        <f>19.8*239*0.92</f>
        <v>4353.6239999999998</v>
      </c>
      <c r="P268" s="50">
        <f>20*0.92</f>
        <v>18.400000000000002</v>
      </c>
      <c r="Q268" s="26">
        <v>0.1</v>
      </c>
    </row>
    <row r="269" spans="1:18" x14ac:dyDescent="0.35">
      <c r="E269" s="24"/>
      <c r="F269" s="24" t="s">
        <v>147</v>
      </c>
      <c r="G269" s="25" t="s">
        <v>151</v>
      </c>
      <c r="H269" s="25" t="s">
        <v>151</v>
      </c>
      <c r="I269" s="25" t="s">
        <v>375</v>
      </c>
      <c r="J269" s="25"/>
      <c r="K269" s="25" t="s">
        <v>376</v>
      </c>
      <c r="L269" s="25" t="s">
        <v>377</v>
      </c>
      <c r="M269" s="25"/>
      <c r="N269" s="48"/>
      <c r="O269" s="49"/>
      <c r="P269" s="50"/>
      <c r="Q269" s="26">
        <v>0.43</v>
      </c>
    </row>
    <row r="270" spans="1:18" x14ac:dyDescent="0.35">
      <c r="A270" s="2"/>
      <c r="F270" s="24" t="s">
        <v>133</v>
      </c>
      <c r="G270" s="25" t="s">
        <v>742</v>
      </c>
      <c r="H270" s="25" t="s">
        <v>24</v>
      </c>
      <c r="I270" s="25" t="s">
        <v>166</v>
      </c>
      <c r="J270" s="25" t="s">
        <v>781</v>
      </c>
      <c r="K270" s="25" t="s">
        <v>18</v>
      </c>
      <c r="L270" s="25" t="s">
        <v>126</v>
      </c>
      <c r="M270" s="25"/>
      <c r="N270" s="48">
        <f>111*0.91</f>
        <v>101.01</v>
      </c>
      <c r="O270" s="49">
        <f>17.6*239*0.91</f>
        <v>3827.8240000000005</v>
      </c>
      <c r="P270" s="50">
        <f>17*0.91</f>
        <v>15.47</v>
      </c>
      <c r="Q270" s="26">
        <v>0.1</v>
      </c>
    </row>
    <row r="271" spans="1:18" x14ac:dyDescent="0.35">
      <c r="N271" s="51"/>
      <c r="O271" s="38"/>
      <c r="P271" s="52"/>
    </row>
    <row r="272" spans="1:18" x14ac:dyDescent="0.35">
      <c r="C272" s="15" t="s">
        <v>379</v>
      </c>
      <c r="E272" s="27" t="s">
        <v>7</v>
      </c>
      <c r="F272" s="27"/>
      <c r="G272" s="28"/>
      <c r="H272" s="28"/>
      <c r="I272" s="28"/>
      <c r="J272" s="28"/>
      <c r="K272" s="28"/>
      <c r="L272" s="28"/>
      <c r="M272" s="28"/>
      <c r="N272" s="53"/>
      <c r="O272" s="54"/>
      <c r="P272" s="55"/>
      <c r="Q272" s="32"/>
      <c r="R272" s="36"/>
    </row>
    <row r="273" spans="1:18" x14ac:dyDescent="0.35">
      <c r="A273" s="2"/>
      <c r="E273" s="27"/>
      <c r="F273" s="27" t="s">
        <v>159</v>
      </c>
      <c r="G273" s="28" t="s">
        <v>151</v>
      </c>
      <c r="H273" s="28" t="s">
        <v>151</v>
      </c>
      <c r="I273" s="28" t="s">
        <v>139</v>
      </c>
      <c r="J273" s="28" t="s">
        <v>722</v>
      </c>
      <c r="K273" s="28" t="s">
        <v>726</v>
      </c>
      <c r="L273" s="28" t="s">
        <v>710</v>
      </c>
      <c r="M273" s="28"/>
      <c r="N273" s="53"/>
      <c r="O273" s="54"/>
      <c r="P273" s="55"/>
      <c r="Q273" s="32">
        <v>0</v>
      </c>
      <c r="R273" s="36"/>
    </row>
    <row r="274" spans="1:18" x14ac:dyDescent="0.35">
      <c r="E274" s="27"/>
      <c r="F274" s="27" t="s">
        <v>159</v>
      </c>
      <c r="G274" s="28" t="s">
        <v>718</v>
      </c>
      <c r="H274" s="28" t="s">
        <v>151</v>
      </c>
      <c r="I274" s="28" t="s">
        <v>740</v>
      </c>
      <c r="J274" s="28"/>
      <c r="K274" s="28" t="s">
        <v>726</v>
      </c>
      <c r="L274" s="28" t="s">
        <v>710</v>
      </c>
      <c r="M274" s="28"/>
      <c r="N274" s="53"/>
      <c r="O274" s="54"/>
      <c r="P274" s="55"/>
      <c r="Q274" s="32">
        <v>0</v>
      </c>
    </row>
    <row r="275" spans="1:18" x14ac:dyDescent="0.35">
      <c r="E275" s="27"/>
      <c r="F275" s="27" t="s">
        <v>159</v>
      </c>
      <c r="G275" s="28" t="s">
        <v>151</v>
      </c>
      <c r="H275" s="28" t="s">
        <v>151</v>
      </c>
      <c r="I275" s="28" t="s">
        <v>139</v>
      </c>
      <c r="J275" s="28"/>
      <c r="K275" s="28" t="s">
        <v>727</v>
      </c>
      <c r="L275" s="28" t="s">
        <v>710</v>
      </c>
      <c r="M275" s="28"/>
      <c r="N275" s="59"/>
      <c r="O275" s="60"/>
      <c r="P275" s="61"/>
      <c r="Q275" s="32">
        <v>0</v>
      </c>
    </row>
    <row r="276" spans="1:18" x14ac:dyDescent="0.35">
      <c r="C276" s="20"/>
      <c r="D276" s="20"/>
      <c r="E276" s="27"/>
      <c r="F276" s="27" t="s">
        <v>160</v>
      </c>
      <c r="G276" s="28" t="s">
        <v>151</v>
      </c>
      <c r="H276" s="28" t="s">
        <v>151</v>
      </c>
      <c r="I276" s="35" t="s">
        <v>719</v>
      </c>
      <c r="J276" s="35"/>
      <c r="K276" s="35"/>
      <c r="L276" s="35"/>
      <c r="M276" s="28"/>
      <c r="N276" s="53"/>
      <c r="O276" s="54"/>
      <c r="P276" s="55"/>
    </row>
    <row r="277" spans="1:18" x14ac:dyDescent="0.35">
      <c r="N277" s="51"/>
      <c r="O277" s="38"/>
      <c r="P277" s="52"/>
    </row>
    <row r="278" spans="1:18" x14ac:dyDescent="0.35">
      <c r="E278" s="17" t="s">
        <v>5</v>
      </c>
      <c r="F278" s="17" t="s">
        <v>153</v>
      </c>
      <c r="G278" s="9" t="s">
        <v>151</v>
      </c>
      <c r="H278" s="9" t="s">
        <v>6</v>
      </c>
      <c r="I278" s="9" t="s">
        <v>190</v>
      </c>
      <c r="J278" s="9" t="s">
        <v>710</v>
      </c>
      <c r="K278" s="9" t="s">
        <v>726</v>
      </c>
      <c r="L278" s="9" t="s">
        <v>720</v>
      </c>
      <c r="M278" s="9"/>
      <c r="N278" s="45">
        <v>0</v>
      </c>
      <c r="O278" s="46">
        <v>9370</v>
      </c>
      <c r="P278" s="47">
        <v>997</v>
      </c>
      <c r="Q278" s="23">
        <v>0</v>
      </c>
    </row>
    <row r="279" spans="1:18" x14ac:dyDescent="0.35">
      <c r="E279" s="17"/>
      <c r="F279" s="17" t="s">
        <v>154</v>
      </c>
      <c r="G279" s="9" t="s">
        <v>151</v>
      </c>
      <c r="H279" s="9" t="s">
        <v>151</v>
      </c>
      <c r="I279" s="9" t="s">
        <v>190</v>
      </c>
      <c r="J279" s="9" t="s">
        <v>721</v>
      </c>
      <c r="K279" s="9" t="s">
        <v>721</v>
      </c>
      <c r="L279" s="9" t="s">
        <v>720</v>
      </c>
      <c r="M279" s="9"/>
      <c r="N279" s="45"/>
      <c r="O279" s="46"/>
      <c r="P279" s="47"/>
      <c r="Q279" s="23">
        <v>1</v>
      </c>
      <c r="R279" s="6" t="s">
        <v>698</v>
      </c>
    </row>
    <row r="280" spans="1:18" x14ac:dyDescent="0.35">
      <c r="E280" s="17"/>
      <c r="F280" s="17" t="s">
        <v>155</v>
      </c>
      <c r="G280" s="9" t="s">
        <v>712</v>
      </c>
      <c r="H280" s="9" t="s">
        <v>24</v>
      </c>
      <c r="I280" s="9" t="s">
        <v>822</v>
      </c>
      <c r="J280" s="9" t="s">
        <v>734</v>
      </c>
      <c r="K280" s="9" t="s">
        <v>726</v>
      </c>
      <c r="L280" s="9" t="s">
        <v>720</v>
      </c>
      <c r="M280" s="9"/>
      <c r="N280" s="45">
        <f>11*0.68</f>
        <v>7.48</v>
      </c>
      <c r="O280" s="46">
        <f>23.1*239*0.68</f>
        <v>3754.2120000000004</v>
      </c>
      <c r="P280" s="47">
        <f>292*0.68</f>
        <v>198.56</v>
      </c>
      <c r="Q280" s="23">
        <v>1</v>
      </c>
    </row>
    <row r="281" spans="1:18" x14ac:dyDescent="0.35">
      <c r="E281" s="17"/>
      <c r="F281" s="17" t="s">
        <v>708</v>
      </c>
      <c r="G281" s="9" t="s">
        <v>151</v>
      </c>
      <c r="H281" s="9" t="s">
        <v>6</v>
      </c>
      <c r="I281" s="10" t="s">
        <v>733</v>
      </c>
      <c r="J281" s="9" t="s">
        <v>767</v>
      </c>
      <c r="K281" s="9" t="s">
        <v>721</v>
      </c>
      <c r="L281" s="9" t="s">
        <v>720</v>
      </c>
      <c r="M281" s="9"/>
      <c r="N281" s="45">
        <v>166</v>
      </c>
      <c r="O281" s="46">
        <v>4080</v>
      </c>
      <c r="P281" s="47">
        <v>29</v>
      </c>
      <c r="Q281" s="23">
        <v>1</v>
      </c>
    </row>
    <row r="282" spans="1:18" x14ac:dyDescent="0.35">
      <c r="E282" s="17"/>
      <c r="F282" s="17" t="s">
        <v>133</v>
      </c>
      <c r="G282" s="9" t="s">
        <v>712</v>
      </c>
      <c r="H282" s="9" t="s">
        <v>24</v>
      </c>
      <c r="I282" s="9" t="s">
        <v>713</v>
      </c>
      <c r="J282" s="9" t="s">
        <v>134</v>
      </c>
      <c r="K282" s="9" t="s">
        <v>18</v>
      </c>
      <c r="L282" s="9" t="s">
        <v>715</v>
      </c>
      <c r="M282" s="9"/>
      <c r="N282" s="45">
        <f>91/5</f>
        <v>18.2</v>
      </c>
      <c r="O282" s="46">
        <f>4359/5</f>
        <v>871.8</v>
      </c>
      <c r="P282" s="47">
        <v>3</v>
      </c>
      <c r="Q282" s="23">
        <v>0.1</v>
      </c>
    </row>
    <row r="283" spans="1:18" x14ac:dyDescent="0.35">
      <c r="E283" s="17"/>
      <c r="M283" s="9"/>
      <c r="N283" s="45"/>
      <c r="O283" s="46"/>
      <c r="P283" s="47"/>
    </row>
    <row r="284" spans="1:18" x14ac:dyDescent="0.35">
      <c r="E284" s="24" t="s">
        <v>163</v>
      </c>
      <c r="F284" s="24" t="s">
        <v>148</v>
      </c>
      <c r="G284" s="25" t="s">
        <v>531</v>
      </c>
      <c r="H284" s="25" t="s">
        <v>151</v>
      </c>
      <c r="I284" s="25" t="s">
        <v>739</v>
      </c>
      <c r="J284" s="25"/>
      <c r="K284" s="25" t="s">
        <v>730</v>
      </c>
      <c r="L284" s="25" t="s">
        <v>738</v>
      </c>
      <c r="M284" s="25"/>
      <c r="N284" s="48"/>
      <c r="O284" s="46"/>
      <c r="P284" s="47"/>
      <c r="Q284" s="26">
        <v>0</v>
      </c>
    </row>
    <row r="285" spans="1:18" x14ac:dyDescent="0.35">
      <c r="A285" s="2"/>
      <c r="E285" s="24"/>
      <c r="F285" s="24" t="s">
        <v>148</v>
      </c>
      <c r="G285" s="25" t="s">
        <v>717</v>
      </c>
      <c r="H285" s="25" t="s">
        <v>151</v>
      </c>
      <c r="I285" s="25" t="s">
        <v>740</v>
      </c>
      <c r="J285" s="25"/>
      <c r="K285" s="25" t="s">
        <v>729</v>
      </c>
      <c r="L285" s="25" t="s">
        <v>737</v>
      </c>
      <c r="M285" s="25"/>
      <c r="N285" s="48"/>
      <c r="O285" s="46"/>
      <c r="P285" s="47"/>
      <c r="Q285" s="26">
        <v>0</v>
      </c>
    </row>
    <row r="286" spans="1:18" x14ac:dyDescent="0.35">
      <c r="A286" s="2"/>
      <c r="E286" s="24"/>
      <c r="F286" s="24" t="s">
        <v>148</v>
      </c>
      <c r="G286" s="25" t="s">
        <v>531</v>
      </c>
      <c r="H286" s="25" t="s">
        <v>151</v>
      </c>
      <c r="I286" s="25" t="s">
        <v>739</v>
      </c>
      <c r="J286" s="25"/>
      <c r="K286" s="25" t="s">
        <v>728</v>
      </c>
      <c r="L286" s="25" t="s">
        <v>738</v>
      </c>
      <c r="M286" s="25"/>
      <c r="N286" s="48"/>
      <c r="O286" s="46"/>
      <c r="P286" s="47"/>
      <c r="Q286" s="26">
        <v>0</v>
      </c>
    </row>
    <row r="287" spans="1:18" x14ac:dyDescent="0.35">
      <c r="E287" s="24"/>
      <c r="F287" s="24" t="s">
        <v>396</v>
      </c>
      <c r="G287" s="25" t="s">
        <v>151</v>
      </c>
      <c r="H287" s="25" t="s">
        <v>151</v>
      </c>
      <c r="I287" s="25" t="s">
        <v>741</v>
      </c>
      <c r="J287" s="25"/>
      <c r="K287" s="25" t="s">
        <v>731</v>
      </c>
      <c r="L287" s="25" t="s">
        <v>737</v>
      </c>
      <c r="M287" s="25"/>
      <c r="N287" s="48"/>
      <c r="O287" s="38"/>
      <c r="P287" s="52"/>
      <c r="Q287" s="26">
        <v>1</v>
      </c>
    </row>
    <row r="288" spans="1:18" x14ac:dyDescent="0.35">
      <c r="E288" s="24"/>
      <c r="F288" s="24" t="s">
        <v>396</v>
      </c>
      <c r="G288" s="25" t="s">
        <v>712</v>
      </c>
      <c r="H288" s="25" t="s">
        <v>24</v>
      </c>
      <c r="I288" s="25" t="s">
        <v>736</v>
      </c>
      <c r="J288" s="25" t="s">
        <v>734</v>
      </c>
      <c r="K288" s="25" t="s">
        <v>726</v>
      </c>
      <c r="L288" s="25" t="s">
        <v>737</v>
      </c>
      <c r="M288" s="25"/>
      <c r="N288" s="48">
        <f>11*0.68</f>
        <v>7.48</v>
      </c>
      <c r="O288" s="49">
        <f>23.1*239*0.68</f>
        <v>3754.2120000000004</v>
      </c>
      <c r="P288" s="50">
        <f>292*0.68</f>
        <v>198.56</v>
      </c>
      <c r="Q288" s="26">
        <v>1</v>
      </c>
    </row>
    <row r="289" spans="2:18" x14ac:dyDescent="0.35">
      <c r="B289"/>
      <c r="E289" s="24"/>
      <c r="F289" s="24" t="s">
        <v>396</v>
      </c>
      <c r="G289" s="25" t="s">
        <v>712</v>
      </c>
      <c r="H289" s="25" t="s">
        <v>24</v>
      </c>
      <c r="I289" s="25" t="s">
        <v>735</v>
      </c>
      <c r="J289" s="25" t="s">
        <v>808</v>
      </c>
      <c r="K289" s="25" t="s">
        <v>726</v>
      </c>
      <c r="L289" s="25" t="s">
        <v>737</v>
      </c>
      <c r="M289" s="25"/>
      <c r="N289" s="48">
        <f>59*0.79</f>
        <v>46.61</v>
      </c>
      <c r="O289" s="49">
        <f>18.3*239*0.836</f>
        <v>3656.4131999999995</v>
      </c>
      <c r="P289" s="50">
        <f>41*0.79</f>
        <v>32.39</v>
      </c>
      <c r="Q289" s="26">
        <v>1</v>
      </c>
    </row>
    <row r="290" spans="2:18" x14ac:dyDescent="0.35">
      <c r="B290"/>
      <c r="E290" s="24"/>
      <c r="F290" s="24" t="s">
        <v>147</v>
      </c>
      <c r="G290" s="25" t="s">
        <v>151</v>
      </c>
      <c r="H290" s="25" t="s">
        <v>151</v>
      </c>
      <c r="I290" s="25" t="s">
        <v>732</v>
      </c>
      <c r="J290" s="25"/>
      <c r="K290" s="25" t="s">
        <v>711</v>
      </c>
      <c r="L290" s="25" t="s">
        <v>716</v>
      </c>
      <c r="M290" s="25"/>
      <c r="N290" s="48"/>
      <c r="O290" s="38"/>
      <c r="P290" s="50"/>
      <c r="Q290" s="26">
        <v>1</v>
      </c>
    </row>
    <row r="291" spans="2:18" x14ac:dyDescent="0.35">
      <c r="B291"/>
      <c r="F291" s="24" t="s">
        <v>133</v>
      </c>
      <c r="G291" s="25" t="s">
        <v>712</v>
      </c>
      <c r="H291" s="25" t="s">
        <v>24</v>
      </c>
      <c r="I291" s="25" t="s">
        <v>725</v>
      </c>
      <c r="J291" s="25" t="s">
        <v>134</v>
      </c>
      <c r="K291" s="25" t="s">
        <v>723</v>
      </c>
      <c r="L291" s="25" t="s">
        <v>714</v>
      </c>
      <c r="M291" s="25"/>
      <c r="N291" s="48">
        <f>91/5</f>
        <v>18.2</v>
      </c>
      <c r="O291" s="49">
        <f>4359/5</f>
        <v>871.8</v>
      </c>
      <c r="P291" s="50">
        <v>3</v>
      </c>
      <c r="Q291" s="26">
        <v>0.1</v>
      </c>
    </row>
    <row r="292" spans="2:18" x14ac:dyDescent="0.35">
      <c r="B292"/>
      <c r="F292" s="24" t="s">
        <v>133</v>
      </c>
      <c r="G292" s="25" t="s">
        <v>712</v>
      </c>
      <c r="H292" s="25" t="s">
        <v>24</v>
      </c>
      <c r="I292" s="25" t="s">
        <v>724</v>
      </c>
      <c r="J292" s="25" t="s">
        <v>134</v>
      </c>
      <c r="K292" s="25" t="s">
        <v>723</v>
      </c>
      <c r="L292" s="25" t="s">
        <v>715</v>
      </c>
      <c r="M292" s="25"/>
      <c r="N292" s="48">
        <f>91/5</f>
        <v>18.2</v>
      </c>
      <c r="O292" s="49">
        <f>4359/5</f>
        <v>871.8</v>
      </c>
      <c r="P292" s="50">
        <v>3</v>
      </c>
      <c r="Q292" s="26">
        <v>0.1</v>
      </c>
    </row>
    <row r="293" spans="2:18" x14ac:dyDescent="0.35">
      <c r="B293"/>
      <c r="C293" s="20"/>
      <c r="D293" s="20"/>
      <c r="N293" s="51"/>
      <c r="O293" s="38"/>
      <c r="P293" s="52"/>
    </row>
    <row r="294" spans="2:18" x14ac:dyDescent="0.35">
      <c r="B294"/>
      <c r="L294" s="2"/>
      <c r="N294" s="51"/>
      <c r="O294" s="38"/>
      <c r="P294" s="52"/>
    </row>
    <row r="295" spans="2:18" x14ac:dyDescent="0.35">
      <c r="B295"/>
      <c r="C295" s="15" t="s">
        <v>69</v>
      </c>
      <c r="E295" s="27" t="s">
        <v>7</v>
      </c>
      <c r="F295" s="27" t="s">
        <v>158</v>
      </c>
      <c r="G295" s="28" t="s">
        <v>151</v>
      </c>
      <c r="H295" s="28" t="s">
        <v>151</v>
      </c>
      <c r="I295" s="28" t="s">
        <v>139</v>
      </c>
      <c r="J295" s="28"/>
      <c r="K295" s="28" t="s">
        <v>444</v>
      </c>
      <c r="L295" s="28" t="s">
        <v>444</v>
      </c>
      <c r="M295" s="28"/>
      <c r="N295" s="53"/>
      <c r="O295" s="54"/>
      <c r="P295" s="55"/>
      <c r="Q295" s="32">
        <v>1</v>
      </c>
      <c r="R295" s="6" t="s">
        <v>698</v>
      </c>
    </row>
    <row r="296" spans="2:18" x14ac:dyDescent="0.35">
      <c r="B296"/>
      <c r="C296" s="20" t="s">
        <v>823</v>
      </c>
      <c r="E296" s="27"/>
      <c r="F296" s="27" t="s">
        <v>159</v>
      </c>
      <c r="G296" s="28" t="s">
        <v>151</v>
      </c>
      <c r="H296" s="28" t="s">
        <v>151</v>
      </c>
      <c r="I296" s="28" t="s">
        <v>139</v>
      </c>
      <c r="J296" s="28"/>
      <c r="K296" s="28" t="s">
        <v>445</v>
      </c>
      <c r="L296" s="28" t="s">
        <v>444</v>
      </c>
      <c r="M296" s="28"/>
      <c r="N296" s="53"/>
      <c r="O296" s="54"/>
      <c r="P296" s="55"/>
      <c r="Q296" s="32">
        <v>0</v>
      </c>
      <c r="R296" s="28"/>
    </row>
    <row r="297" spans="2:18" x14ac:dyDescent="0.35">
      <c r="B297"/>
      <c r="E297" s="27"/>
      <c r="F297" s="27" t="s">
        <v>160</v>
      </c>
      <c r="G297" s="28" t="s">
        <v>151</v>
      </c>
      <c r="H297" s="28" t="s">
        <v>151</v>
      </c>
      <c r="I297" s="35" t="s">
        <v>553</v>
      </c>
      <c r="J297" s="35"/>
      <c r="K297" s="35"/>
      <c r="L297" s="35"/>
      <c r="M297" s="28"/>
      <c r="N297" s="53"/>
      <c r="O297" s="54"/>
      <c r="P297" s="55"/>
      <c r="Q297" s="32"/>
      <c r="R297" s="28"/>
    </row>
    <row r="298" spans="2:18" x14ac:dyDescent="0.35">
      <c r="B298"/>
      <c r="N298" s="51"/>
      <c r="O298" s="38"/>
      <c r="P298" s="52"/>
    </row>
    <row r="299" spans="2:18" x14ac:dyDescent="0.35">
      <c r="B299"/>
      <c r="E299" s="17" t="s">
        <v>5</v>
      </c>
      <c r="F299" s="17" t="s">
        <v>709</v>
      </c>
      <c r="G299" s="9" t="s">
        <v>151</v>
      </c>
      <c r="H299" s="9" t="s">
        <v>447</v>
      </c>
      <c r="I299" s="10" t="s">
        <v>446</v>
      </c>
      <c r="J299" s="9"/>
      <c r="K299" s="9" t="s">
        <v>448</v>
      </c>
      <c r="L299" s="9" t="s">
        <v>449</v>
      </c>
      <c r="M299" s="9"/>
      <c r="N299" s="45">
        <v>339</v>
      </c>
      <c r="O299" s="46">
        <v>4110</v>
      </c>
      <c r="P299" s="47">
        <v>22</v>
      </c>
      <c r="Q299" s="23">
        <v>1</v>
      </c>
      <c r="R299" s="6" t="s">
        <v>698</v>
      </c>
    </row>
    <row r="300" spans="2:18" x14ac:dyDescent="0.35">
      <c r="B300"/>
      <c r="E300" s="17"/>
      <c r="F300" s="17" t="s">
        <v>156</v>
      </c>
      <c r="G300" s="9" t="s">
        <v>151</v>
      </c>
      <c r="H300" s="9" t="s">
        <v>447</v>
      </c>
      <c r="I300" s="9" t="s">
        <v>190</v>
      </c>
      <c r="J300" s="9"/>
      <c r="K300" s="9" t="s">
        <v>450</v>
      </c>
      <c r="L300" s="9" t="s">
        <v>451</v>
      </c>
      <c r="M300" s="9"/>
      <c r="N300" s="45">
        <v>186</v>
      </c>
      <c r="O300" s="46">
        <v>6420</v>
      </c>
      <c r="P300" s="47">
        <v>441</v>
      </c>
      <c r="Q300" s="23">
        <v>1</v>
      </c>
      <c r="R300" s="9"/>
    </row>
    <row r="301" spans="2:18" x14ac:dyDescent="0.35">
      <c r="B301"/>
      <c r="E301" s="17"/>
      <c r="M301" s="9"/>
      <c r="N301" s="45"/>
      <c r="O301" s="46"/>
      <c r="P301" s="47"/>
    </row>
    <row r="302" spans="2:18" x14ac:dyDescent="0.35">
      <c r="B302"/>
      <c r="E302" s="24" t="s">
        <v>163</v>
      </c>
      <c r="F302" s="24" t="s">
        <v>148</v>
      </c>
      <c r="G302" s="25" t="s">
        <v>151</v>
      </c>
      <c r="H302" s="25" t="s">
        <v>151</v>
      </c>
      <c r="I302" s="25" t="s">
        <v>452</v>
      </c>
      <c r="J302" s="25"/>
      <c r="K302" s="25" t="s">
        <v>453</v>
      </c>
      <c r="L302" s="25" t="s">
        <v>454</v>
      </c>
      <c r="M302" s="25"/>
      <c r="N302" s="48"/>
      <c r="O302" s="46"/>
      <c r="P302" s="47"/>
      <c r="Q302" s="26">
        <v>0</v>
      </c>
    </row>
    <row r="303" spans="2:18" x14ac:dyDescent="0.35">
      <c r="B303"/>
      <c r="E303" s="24"/>
      <c r="F303" s="24" t="s">
        <v>147</v>
      </c>
      <c r="G303" s="25" t="s">
        <v>151</v>
      </c>
      <c r="H303" s="25" t="s">
        <v>151</v>
      </c>
      <c r="I303" s="25" t="s">
        <v>455</v>
      </c>
      <c r="J303" s="25"/>
      <c r="K303" s="25" t="s">
        <v>456</v>
      </c>
      <c r="L303" s="25" t="s">
        <v>457</v>
      </c>
      <c r="M303" s="25"/>
      <c r="N303" s="48"/>
      <c r="O303" s="38"/>
      <c r="P303" s="52"/>
      <c r="Q303" s="26">
        <v>0.4</v>
      </c>
    </row>
    <row r="304" spans="2:18" x14ac:dyDescent="0.35">
      <c r="B304"/>
      <c r="N304" s="51"/>
      <c r="O304" s="38"/>
      <c r="P304" s="52"/>
    </row>
    <row r="305" spans="2:18" x14ac:dyDescent="0.35">
      <c r="B305"/>
      <c r="C305" s="15" t="s">
        <v>378</v>
      </c>
      <c r="E305" s="27" t="s">
        <v>7</v>
      </c>
      <c r="F305" s="27" t="s">
        <v>158</v>
      </c>
      <c r="G305" s="28" t="s">
        <v>151</v>
      </c>
      <c r="H305" s="28" t="s">
        <v>151</v>
      </c>
      <c r="I305" s="28" t="s">
        <v>139</v>
      </c>
      <c r="J305" s="28"/>
      <c r="K305" s="28" t="s">
        <v>107</v>
      </c>
      <c r="L305" s="28" t="s">
        <v>378</v>
      </c>
      <c r="M305" s="28"/>
      <c r="N305" s="53"/>
      <c r="O305" s="54"/>
      <c r="P305" s="55"/>
      <c r="Q305" s="32">
        <v>1</v>
      </c>
      <c r="R305" s="6" t="s">
        <v>698</v>
      </c>
    </row>
    <row r="306" spans="2:18" x14ac:dyDescent="0.35">
      <c r="B306"/>
      <c r="E306" s="27"/>
      <c r="F306" s="27" t="s">
        <v>158</v>
      </c>
      <c r="G306" s="28" t="s">
        <v>151</v>
      </c>
      <c r="H306" s="28" t="s">
        <v>151</v>
      </c>
      <c r="I306" s="28" t="s">
        <v>632</v>
      </c>
      <c r="J306" s="28"/>
      <c r="K306" s="28" t="s">
        <v>108</v>
      </c>
      <c r="L306" s="28" t="s">
        <v>378</v>
      </c>
      <c r="M306" s="28"/>
      <c r="N306" s="53"/>
      <c r="O306" s="54"/>
      <c r="P306" s="55"/>
      <c r="Q306" s="32">
        <v>1</v>
      </c>
    </row>
    <row r="307" spans="2:18" x14ac:dyDescent="0.35">
      <c r="B307"/>
      <c r="E307" s="27"/>
      <c r="F307" s="27" t="s">
        <v>159</v>
      </c>
      <c r="G307" s="28" t="s">
        <v>151</v>
      </c>
      <c r="H307" s="28" t="s">
        <v>151</v>
      </c>
      <c r="I307" s="28" t="s">
        <v>633</v>
      </c>
      <c r="J307" s="28"/>
      <c r="K307" s="28" t="s">
        <v>109</v>
      </c>
      <c r="L307" s="28" t="s">
        <v>378</v>
      </c>
      <c r="M307" s="28"/>
      <c r="N307" s="53"/>
      <c r="O307" s="54"/>
      <c r="P307" s="55"/>
      <c r="Q307" s="32">
        <v>0</v>
      </c>
    </row>
    <row r="308" spans="2:18" x14ac:dyDescent="0.35">
      <c r="B308"/>
      <c r="E308" s="27"/>
      <c r="F308" s="27" t="s">
        <v>159</v>
      </c>
      <c r="G308" s="28" t="s">
        <v>151</v>
      </c>
      <c r="H308" s="28" t="s">
        <v>151</v>
      </c>
      <c r="I308" s="28" t="s">
        <v>139</v>
      </c>
      <c r="J308" s="28"/>
      <c r="K308" s="28" t="s">
        <v>110</v>
      </c>
      <c r="L308" s="28" t="s">
        <v>378</v>
      </c>
      <c r="M308" s="28"/>
      <c r="N308" s="59"/>
      <c r="O308" s="60"/>
      <c r="P308" s="61"/>
      <c r="Q308" s="32">
        <v>0</v>
      </c>
    </row>
    <row r="309" spans="2:18" x14ac:dyDescent="0.35">
      <c r="B309"/>
      <c r="C309" s="20"/>
      <c r="D309" s="20"/>
      <c r="E309" s="27"/>
      <c r="F309" s="27" t="s">
        <v>160</v>
      </c>
      <c r="G309" s="28" t="s">
        <v>151</v>
      </c>
      <c r="H309" s="28" t="s">
        <v>151</v>
      </c>
      <c r="I309" s="35" t="s">
        <v>553</v>
      </c>
      <c r="J309" s="35"/>
      <c r="K309" s="35"/>
      <c r="L309" s="35"/>
      <c r="M309" s="28"/>
      <c r="N309" s="53"/>
      <c r="O309" s="54"/>
      <c r="P309" s="55"/>
    </row>
    <row r="310" spans="2:18" x14ac:dyDescent="0.35">
      <c r="B310"/>
      <c r="N310" s="51"/>
      <c r="O310" s="38"/>
      <c r="P310" s="52"/>
    </row>
    <row r="311" spans="2:18" x14ac:dyDescent="0.35">
      <c r="B311"/>
      <c r="E311" s="17" t="s">
        <v>5</v>
      </c>
      <c r="F311" s="17" t="s">
        <v>709</v>
      </c>
      <c r="G311" s="9" t="s">
        <v>151</v>
      </c>
      <c r="H311" s="9" t="s">
        <v>6</v>
      </c>
      <c r="I311" s="10" t="s">
        <v>381</v>
      </c>
      <c r="J311" s="9" t="s">
        <v>388</v>
      </c>
      <c r="K311" s="9" t="s">
        <v>383</v>
      </c>
      <c r="L311" s="9" t="s">
        <v>382</v>
      </c>
      <c r="M311" s="9"/>
      <c r="N311" s="45">
        <v>102</v>
      </c>
      <c r="O311" s="46">
        <v>3990</v>
      </c>
      <c r="P311" s="47">
        <v>24</v>
      </c>
      <c r="Q311" s="23">
        <v>1</v>
      </c>
    </row>
    <row r="312" spans="2:18" x14ac:dyDescent="0.35">
      <c r="B312"/>
      <c r="E312" s="17"/>
      <c r="M312" s="9"/>
      <c r="N312" s="45"/>
      <c r="O312" s="46"/>
      <c r="P312" s="47"/>
    </row>
    <row r="313" spans="2:18" x14ac:dyDescent="0.35">
      <c r="B313"/>
      <c r="E313" s="24" t="s">
        <v>163</v>
      </c>
      <c r="F313" s="24" t="s">
        <v>148</v>
      </c>
      <c r="G313" s="25" t="s">
        <v>151</v>
      </c>
      <c r="H313" s="25" t="s">
        <v>151</v>
      </c>
      <c r="I313" s="25" t="s">
        <v>380</v>
      </c>
      <c r="J313" s="25"/>
      <c r="K313" s="25" t="s">
        <v>408</v>
      </c>
      <c r="L313" s="25" t="s">
        <v>386</v>
      </c>
      <c r="M313" s="25"/>
      <c r="N313" s="48"/>
      <c r="O313" s="46"/>
      <c r="P313" s="47"/>
      <c r="Q313" s="26">
        <v>0</v>
      </c>
    </row>
    <row r="314" spans="2:18" x14ac:dyDescent="0.35">
      <c r="B314"/>
      <c r="E314" s="24"/>
      <c r="F314" s="24" t="s">
        <v>147</v>
      </c>
      <c r="G314" s="25" t="s">
        <v>151</v>
      </c>
      <c r="H314" s="25" t="s">
        <v>151</v>
      </c>
      <c r="I314" s="25" t="s">
        <v>384</v>
      </c>
      <c r="J314" s="25"/>
      <c r="K314" s="25" t="s">
        <v>385</v>
      </c>
      <c r="L314" s="25" t="s">
        <v>387</v>
      </c>
      <c r="M314" s="25"/>
      <c r="N314" s="48"/>
      <c r="O314" s="38"/>
      <c r="P314" s="52"/>
      <c r="Q314" s="26">
        <v>1</v>
      </c>
    </row>
    <row r="315" spans="2:18" x14ac:dyDescent="0.35">
      <c r="B315"/>
      <c r="N315" s="51"/>
      <c r="O315" s="38"/>
      <c r="P315" s="52"/>
    </row>
    <row r="316" spans="2:18" x14ac:dyDescent="0.35">
      <c r="B316"/>
      <c r="C316" s="15" t="s">
        <v>111</v>
      </c>
      <c r="E316" s="27" t="s">
        <v>7</v>
      </c>
      <c r="F316" s="27" t="s">
        <v>158</v>
      </c>
      <c r="G316" s="28" t="s">
        <v>151</v>
      </c>
      <c r="H316" s="28" t="s">
        <v>151</v>
      </c>
      <c r="I316" s="28" t="s">
        <v>139</v>
      </c>
      <c r="J316" s="28"/>
      <c r="K316" t="s">
        <v>111</v>
      </c>
      <c r="L316" s="28" t="s">
        <v>111</v>
      </c>
      <c r="M316" s="28"/>
      <c r="N316" s="53"/>
      <c r="O316" s="54"/>
      <c r="P316" s="55"/>
      <c r="Q316" s="32">
        <v>1</v>
      </c>
      <c r="R316" s="36" t="s">
        <v>698</v>
      </c>
    </row>
    <row r="317" spans="2:18" x14ac:dyDescent="0.35">
      <c r="B317"/>
      <c r="E317" s="27"/>
      <c r="F317" s="27" t="s">
        <v>159</v>
      </c>
      <c r="G317" s="28" t="s">
        <v>151</v>
      </c>
      <c r="H317" s="28" t="s">
        <v>151</v>
      </c>
      <c r="I317" s="28" t="s">
        <v>139</v>
      </c>
      <c r="J317" s="28"/>
      <c r="K317" t="s">
        <v>112</v>
      </c>
      <c r="L317" s="28" t="s">
        <v>111</v>
      </c>
      <c r="M317" s="28"/>
      <c r="N317" s="53"/>
      <c r="O317" s="54"/>
      <c r="P317" s="55"/>
      <c r="Q317" s="32">
        <v>0</v>
      </c>
      <c r="R317" s="28"/>
    </row>
    <row r="318" spans="2:18" x14ac:dyDescent="0.35">
      <c r="B318"/>
      <c r="C318" s="20"/>
      <c r="D318" s="20"/>
      <c r="E318" s="27"/>
      <c r="F318" s="27" t="s">
        <v>160</v>
      </c>
      <c r="G318" s="28" t="s">
        <v>151</v>
      </c>
      <c r="H318" s="28" t="s">
        <v>151</v>
      </c>
      <c r="I318" s="35" t="s">
        <v>553</v>
      </c>
      <c r="J318" s="35"/>
      <c r="K318" s="35"/>
      <c r="L318" s="35"/>
      <c r="M318" s="28"/>
      <c r="N318" s="53"/>
      <c r="O318" s="54"/>
      <c r="P318" s="55"/>
      <c r="Q318" s="32">
        <v>0</v>
      </c>
      <c r="R318" s="28"/>
    </row>
    <row r="319" spans="2:18" x14ac:dyDescent="0.35">
      <c r="B319"/>
      <c r="N319" s="51"/>
      <c r="O319" s="38"/>
      <c r="P319" s="52"/>
    </row>
    <row r="320" spans="2:18" x14ac:dyDescent="0.35">
      <c r="B320"/>
      <c r="E320" s="17" t="s">
        <v>5</v>
      </c>
      <c r="F320" s="17" t="s">
        <v>709</v>
      </c>
      <c r="G320" s="9" t="s">
        <v>151</v>
      </c>
      <c r="H320" s="9" t="s">
        <v>6</v>
      </c>
      <c r="I320" s="10" t="s">
        <v>389</v>
      </c>
      <c r="J320" s="9" t="s">
        <v>390</v>
      </c>
      <c r="K320" s="9" t="s">
        <v>391</v>
      </c>
      <c r="L320" s="9" t="s">
        <v>392</v>
      </c>
      <c r="M320" s="9"/>
      <c r="N320" s="45">
        <v>339</v>
      </c>
      <c r="O320" s="46">
        <v>4110</v>
      </c>
      <c r="P320" s="47">
        <v>22</v>
      </c>
      <c r="Q320" s="23">
        <v>1</v>
      </c>
      <c r="R320" s="10" t="s">
        <v>698</v>
      </c>
    </row>
    <row r="321" spans="1:18" s="9" customFormat="1" x14ac:dyDescent="0.35">
      <c r="B321" s="19"/>
      <c r="C321" s="19"/>
      <c r="D321" s="19"/>
      <c r="E321" s="17"/>
      <c r="F321" s="17" t="s">
        <v>156</v>
      </c>
      <c r="G321" s="9" t="s">
        <v>151</v>
      </c>
      <c r="H321" s="9" t="s">
        <v>6</v>
      </c>
      <c r="J321" s="9" t="s">
        <v>71</v>
      </c>
      <c r="L321" s="9" t="s">
        <v>70</v>
      </c>
      <c r="N321" s="45">
        <v>186</v>
      </c>
      <c r="O321" s="46">
        <v>6420</v>
      </c>
      <c r="P321" s="47">
        <v>441</v>
      </c>
      <c r="Q321" s="23">
        <v>1</v>
      </c>
      <c r="R321" s="10" t="s">
        <v>698</v>
      </c>
    </row>
    <row r="322" spans="1:18" x14ac:dyDescent="0.35">
      <c r="E322" s="17"/>
      <c r="F322" s="17" t="s">
        <v>133</v>
      </c>
      <c r="G322" s="9" t="s">
        <v>165</v>
      </c>
      <c r="H322" s="9" t="s">
        <v>24</v>
      </c>
      <c r="I322" s="9" t="s">
        <v>166</v>
      </c>
      <c r="J322" s="9" t="s">
        <v>817</v>
      </c>
      <c r="K322" s="9" t="s">
        <v>18</v>
      </c>
      <c r="L322" s="9" t="s">
        <v>810</v>
      </c>
      <c r="M322" s="25"/>
      <c r="N322" s="45">
        <f>57*0.92</f>
        <v>52.440000000000005</v>
      </c>
      <c r="O322" s="46">
        <f>18.9*239*0.92</f>
        <v>4155.732</v>
      </c>
      <c r="P322" s="47">
        <f>21*0.92</f>
        <v>19.32</v>
      </c>
      <c r="Q322" s="23">
        <v>0.1</v>
      </c>
      <c r="R322" s="10" t="s">
        <v>699</v>
      </c>
    </row>
    <row r="323" spans="1:18" x14ac:dyDescent="0.35">
      <c r="E323" s="17"/>
      <c r="M323" s="9"/>
      <c r="N323" s="71"/>
      <c r="O323" s="72"/>
      <c r="P323" s="73"/>
    </row>
    <row r="324" spans="1:18" x14ac:dyDescent="0.35">
      <c r="A324" s="2"/>
      <c r="E324" s="24" t="s">
        <v>163</v>
      </c>
      <c r="F324" s="24" t="s">
        <v>396</v>
      </c>
      <c r="G324" s="25" t="s">
        <v>151</v>
      </c>
      <c r="H324" s="25" t="s">
        <v>151</v>
      </c>
      <c r="I324" s="25" t="s">
        <v>393</v>
      </c>
      <c r="J324" s="25"/>
      <c r="K324" s="25" t="s">
        <v>407</v>
      </c>
      <c r="L324" s="25" t="s">
        <v>394</v>
      </c>
      <c r="M324" s="25"/>
      <c r="N324" s="71"/>
      <c r="O324" s="72"/>
      <c r="P324" s="73"/>
      <c r="Q324" s="26">
        <v>0</v>
      </c>
    </row>
    <row r="325" spans="1:18" x14ac:dyDescent="0.35">
      <c r="E325" s="24"/>
      <c r="F325" s="24" t="s">
        <v>147</v>
      </c>
      <c r="G325" s="25" t="s">
        <v>151</v>
      </c>
      <c r="H325" s="25" t="s">
        <v>151</v>
      </c>
      <c r="I325" s="25" t="s">
        <v>397</v>
      </c>
      <c r="J325" s="25"/>
      <c r="K325" s="25" t="s">
        <v>398</v>
      </c>
      <c r="L325" s="25" t="s">
        <v>395</v>
      </c>
      <c r="M325" s="25"/>
      <c r="N325" s="71"/>
      <c r="O325" s="72"/>
      <c r="P325" s="73"/>
      <c r="Q325" s="26">
        <v>1</v>
      </c>
      <c r="R325" s="44" t="s">
        <v>698</v>
      </c>
    </row>
    <row r="326" spans="1:18" s="25" customFormat="1" x14ac:dyDescent="0.35">
      <c r="B326" s="37"/>
      <c r="C326" s="37"/>
      <c r="D326" s="37"/>
      <c r="E326" s="24"/>
      <c r="F326" s="24" t="s">
        <v>133</v>
      </c>
      <c r="G326" s="25" t="s">
        <v>165</v>
      </c>
      <c r="H326" s="25" t="s">
        <v>24</v>
      </c>
      <c r="I326" s="25" t="s">
        <v>166</v>
      </c>
      <c r="J326" s="25" t="s">
        <v>817</v>
      </c>
      <c r="K326" s="25" t="s">
        <v>18</v>
      </c>
      <c r="L326" s="25" t="s">
        <v>810</v>
      </c>
      <c r="N326" s="48">
        <f>57*0.92</f>
        <v>52.440000000000005</v>
      </c>
      <c r="O326" s="49">
        <f>18.9*239*0.92</f>
        <v>4155.732</v>
      </c>
      <c r="P326" s="50">
        <f>21*0.92</f>
        <v>19.32</v>
      </c>
      <c r="Q326" s="26">
        <v>0.1</v>
      </c>
      <c r="R326" s="44" t="s">
        <v>699</v>
      </c>
    </row>
    <row r="327" spans="1:18" x14ac:dyDescent="0.35">
      <c r="C327" s="20"/>
      <c r="D327" s="20"/>
      <c r="N327" s="51"/>
      <c r="O327" s="38"/>
      <c r="P327" s="52"/>
    </row>
    <row r="328" spans="1:18" x14ac:dyDescent="0.35">
      <c r="N328" s="51"/>
      <c r="O328" s="38"/>
      <c r="P328" s="52"/>
    </row>
    <row r="329" spans="1:18" s="28" customFormat="1" x14ac:dyDescent="0.35">
      <c r="B329" s="15"/>
      <c r="C329" s="15" t="s">
        <v>72</v>
      </c>
      <c r="D329" s="15"/>
      <c r="E329" s="27" t="s">
        <v>7</v>
      </c>
      <c r="F329" s="27" t="s">
        <v>158</v>
      </c>
      <c r="G329" s="28" t="s">
        <v>151</v>
      </c>
      <c r="H329" s="28" t="s">
        <v>151</v>
      </c>
      <c r="I329" s="28" t="s">
        <v>139</v>
      </c>
      <c r="K329" s="28" t="s">
        <v>399</v>
      </c>
      <c r="L329" s="28" t="s">
        <v>399</v>
      </c>
      <c r="N329" s="53"/>
      <c r="O329" s="54"/>
      <c r="P329" s="55"/>
      <c r="Q329" s="32">
        <v>1</v>
      </c>
      <c r="R329" s="36" t="s">
        <v>698</v>
      </c>
    </row>
    <row r="330" spans="1:18" s="28" customFormat="1" x14ac:dyDescent="0.35">
      <c r="B330" s="15"/>
      <c r="C330" s="15"/>
      <c r="D330" s="15"/>
      <c r="E330" s="27"/>
      <c r="F330" s="27" t="s">
        <v>159</v>
      </c>
      <c r="G330" s="28" t="s">
        <v>151</v>
      </c>
      <c r="H330" s="28" t="s">
        <v>151</v>
      </c>
      <c r="I330" s="28" t="s">
        <v>139</v>
      </c>
      <c r="K330" s="28" t="s">
        <v>400</v>
      </c>
      <c r="L330" s="28" t="s">
        <v>399</v>
      </c>
      <c r="N330" s="53"/>
      <c r="O330" s="54"/>
      <c r="P330" s="55"/>
      <c r="Q330" s="32">
        <v>0</v>
      </c>
    </row>
    <row r="331" spans="1:18" s="28" customFormat="1" x14ac:dyDescent="0.35">
      <c r="B331" s="15"/>
      <c r="C331" s="15"/>
      <c r="D331" s="15"/>
      <c r="E331" s="27"/>
      <c r="F331" s="27" t="s">
        <v>160</v>
      </c>
      <c r="G331" s="28" t="s">
        <v>151</v>
      </c>
      <c r="H331" s="28" t="s">
        <v>151</v>
      </c>
      <c r="I331" s="35" t="s">
        <v>553</v>
      </c>
      <c r="J331" s="35"/>
      <c r="K331" s="35"/>
      <c r="L331" s="35"/>
      <c r="N331" s="53"/>
      <c r="O331" s="54"/>
      <c r="P331" s="55"/>
      <c r="Q331" s="32">
        <v>0</v>
      </c>
    </row>
    <row r="332" spans="1:18" x14ac:dyDescent="0.35">
      <c r="N332" s="51"/>
      <c r="O332" s="38"/>
      <c r="P332" s="52"/>
    </row>
    <row r="333" spans="1:18" x14ac:dyDescent="0.35">
      <c r="E333" s="17" t="s">
        <v>5</v>
      </c>
      <c r="F333" s="17" t="s">
        <v>709</v>
      </c>
      <c r="G333" s="9" t="s">
        <v>151</v>
      </c>
      <c r="H333" s="9" t="s">
        <v>6</v>
      </c>
      <c r="I333" s="10" t="s">
        <v>411</v>
      </c>
      <c r="J333" s="9" t="s">
        <v>412</v>
      </c>
      <c r="K333" s="9" t="s">
        <v>413</v>
      </c>
      <c r="L333" s="9" t="s">
        <v>414</v>
      </c>
      <c r="M333" s="9"/>
      <c r="N333" s="45">
        <v>420</v>
      </c>
      <c r="O333" s="46">
        <v>4620</v>
      </c>
      <c r="P333" s="47">
        <v>111</v>
      </c>
      <c r="Q333" s="23">
        <v>1</v>
      </c>
      <c r="R333" s="10" t="s">
        <v>698</v>
      </c>
    </row>
    <row r="334" spans="1:18" x14ac:dyDescent="0.35">
      <c r="C334" s="19"/>
      <c r="D334" s="19"/>
      <c r="E334" s="17"/>
      <c r="F334" s="17" t="s">
        <v>156</v>
      </c>
      <c r="G334" s="9" t="s">
        <v>151</v>
      </c>
      <c r="H334" s="9" t="s">
        <v>24</v>
      </c>
      <c r="I334" s="9" t="s">
        <v>166</v>
      </c>
      <c r="J334" s="9" t="s">
        <v>415</v>
      </c>
      <c r="K334" s="9"/>
      <c r="L334" s="9" t="s">
        <v>416</v>
      </c>
      <c r="M334" s="9"/>
      <c r="N334" s="45">
        <f>234*0.97</f>
        <v>226.98</v>
      </c>
      <c r="O334" s="46">
        <f>29.1*239*0.97</f>
        <v>6746.2530000000006</v>
      </c>
      <c r="P334" s="47">
        <f>497*0.97</f>
        <v>482.09</v>
      </c>
      <c r="Q334" s="23">
        <v>1</v>
      </c>
      <c r="R334" s="10" t="s">
        <v>698</v>
      </c>
    </row>
    <row r="335" spans="1:18" x14ac:dyDescent="0.35">
      <c r="E335" s="17"/>
      <c r="F335" s="17" t="s">
        <v>133</v>
      </c>
      <c r="G335" s="9" t="s">
        <v>165</v>
      </c>
      <c r="H335" s="9" t="s">
        <v>24</v>
      </c>
      <c r="I335" s="9" t="s">
        <v>803</v>
      </c>
      <c r="J335" s="9" t="s">
        <v>817</v>
      </c>
      <c r="K335" s="9" t="s">
        <v>18</v>
      </c>
      <c r="L335" s="9" t="s">
        <v>810</v>
      </c>
      <c r="M335" s="25"/>
      <c r="N335" s="45">
        <f>57*0.92</f>
        <v>52.440000000000005</v>
      </c>
      <c r="O335" s="46">
        <f>18.9*239*0.92</f>
        <v>4155.732</v>
      </c>
      <c r="P335" s="47">
        <f>21*0.92</f>
        <v>19.32</v>
      </c>
      <c r="Q335" s="23">
        <v>0.1</v>
      </c>
      <c r="R335" s="10" t="s">
        <v>699</v>
      </c>
    </row>
    <row r="336" spans="1:18" x14ac:dyDescent="0.35">
      <c r="E336" s="17"/>
      <c r="M336" s="9"/>
      <c r="N336" s="51"/>
      <c r="O336" s="38"/>
      <c r="P336" s="52"/>
    </row>
    <row r="337" spans="1:18" x14ac:dyDescent="0.35">
      <c r="E337" s="24" t="s">
        <v>163</v>
      </c>
      <c r="F337" s="24" t="s">
        <v>148</v>
      </c>
      <c r="G337" s="25" t="s">
        <v>151</v>
      </c>
      <c r="H337" s="25" t="s">
        <v>151</v>
      </c>
      <c r="I337" s="25" t="s">
        <v>404</v>
      </c>
      <c r="J337" s="25"/>
      <c r="K337" s="25" t="s">
        <v>406</v>
      </c>
      <c r="L337" s="25" t="s">
        <v>401</v>
      </c>
      <c r="M337" s="25"/>
      <c r="N337" s="51"/>
      <c r="O337" s="38"/>
      <c r="P337" s="52"/>
      <c r="Q337" s="26">
        <v>0</v>
      </c>
    </row>
    <row r="338" spans="1:18" x14ac:dyDescent="0.35">
      <c r="E338" s="24"/>
      <c r="F338" s="24" t="s">
        <v>147</v>
      </c>
      <c r="G338" s="25" t="s">
        <v>151</v>
      </c>
      <c r="H338" s="25" t="s">
        <v>151</v>
      </c>
      <c r="I338" s="25" t="s">
        <v>405</v>
      </c>
      <c r="J338" s="25"/>
      <c r="K338" s="25" t="s">
        <v>403</v>
      </c>
      <c r="L338" s="25" t="s">
        <v>402</v>
      </c>
      <c r="M338" s="25"/>
      <c r="N338" s="51"/>
      <c r="O338" s="38"/>
      <c r="P338" s="52"/>
      <c r="Q338" s="26">
        <v>1</v>
      </c>
      <c r="R338" s="44" t="s">
        <v>698</v>
      </c>
    </row>
    <row r="339" spans="1:18" x14ac:dyDescent="0.35">
      <c r="A339" s="2"/>
      <c r="C339" s="37"/>
      <c r="D339" s="37"/>
      <c r="E339" s="24"/>
      <c r="F339" s="24" t="s">
        <v>133</v>
      </c>
      <c r="G339" s="25" t="s">
        <v>712</v>
      </c>
      <c r="H339" s="25" t="s">
        <v>24</v>
      </c>
      <c r="I339" s="25" t="s">
        <v>803</v>
      </c>
      <c r="J339" s="25" t="s">
        <v>817</v>
      </c>
      <c r="K339" s="25" t="s">
        <v>18</v>
      </c>
      <c r="L339" s="25" t="s">
        <v>810</v>
      </c>
      <c r="M339" s="25"/>
      <c r="N339" s="48">
        <f>57*0.92</f>
        <v>52.440000000000005</v>
      </c>
      <c r="O339" s="49">
        <f>18.9*239*0.92</f>
        <v>4155.732</v>
      </c>
      <c r="P339" s="50">
        <f>21*0.92</f>
        <v>19.32</v>
      </c>
      <c r="Q339" s="26">
        <v>0.1</v>
      </c>
      <c r="R339" s="44" t="s">
        <v>699</v>
      </c>
    </row>
    <row r="340" spans="1:18" x14ac:dyDescent="0.35">
      <c r="N340" s="51"/>
      <c r="O340" s="38"/>
      <c r="P340" s="52"/>
    </row>
    <row r="341" spans="1:18" x14ac:dyDescent="0.35">
      <c r="C341" s="15" t="s">
        <v>98</v>
      </c>
      <c r="E341" s="27" t="s">
        <v>7</v>
      </c>
      <c r="F341" s="27" t="s">
        <v>158</v>
      </c>
      <c r="G341" s="28" t="s">
        <v>151</v>
      </c>
      <c r="H341" s="28" t="s">
        <v>151</v>
      </c>
      <c r="I341" s="28" t="s">
        <v>139</v>
      </c>
      <c r="J341" s="28"/>
      <c r="K341" s="28" t="s">
        <v>99</v>
      </c>
      <c r="L341" s="28" t="s">
        <v>423</v>
      </c>
      <c r="M341" s="28"/>
      <c r="N341" s="53"/>
      <c r="O341" s="54"/>
      <c r="P341" s="55"/>
      <c r="Q341" s="32">
        <v>1</v>
      </c>
      <c r="R341" s="28" t="s">
        <v>99</v>
      </c>
    </row>
    <row r="342" spans="1:18" s="28" customFormat="1" x14ac:dyDescent="0.35">
      <c r="A342" s="2"/>
      <c r="B342" s="15"/>
      <c r="C342" s="15"/>
      <c r="D342" s="15"/>
      <c r="E342" s="27"/>
      <c r="F342" s="27" t="s">
        <v>159</v>
      </c>
      <c r="G342" s="28" t="s">
        <v>151</v>
      </c>
      <c r="H342" s="28" t="s">
        <v>151</v>
      </c>
      <c r="I342" s="28" t="s">
        <v>460</v>
      </c>
      <c r="K342" s="28" t="s">
        <v>418</v>
      </c>
      <c r="L342" s="28" t="s">
        <v>423</v>
      </c>
      <c r="N342" s="53"/>
      <c r="O342" s="54"/>
      <c r="P342" s="55"/>
      <c r="Q342" s="32">
        <v>0.5</v>
      </c>
      <c r="R342" s="28" t="s">
        <v>420</v>
      </c>
    </row>
    <row r="343" spans="1:18" s="28" customFormat="1" x14ac:dyDescent="0.35">
      <c r="B343" s="15"/>
      <c r="C343" s="15"/>
      <c r="D343" s="15"/>
      <c r="E343" s="27"/>
      <c r="F343" s="27" t="s">
        <v>159</v>
      </c>
      <c r="G343" s="28" t="s">
        <v>151</v>
      </c>
      <c r="H343" s="28" t="s">
        <v>151</v>
      </c>
      <c r="I343" s="28" t="s">
        <v>139</v>
      </c>
      <c r="K343" s="28" t="s">
        <v>417</v>
      </c>
      <c r="L343" s="28" t="s">
        <v>423</v>
      </c>
      <c r="N343" s="53"/>
      <c r="O343" s="54"/>
      <c r="P343" s="55"/>
      <c r="Q343" s="32">
        <v>0</v>
      </c>
    </row>
    <row r="344" spans="1:18" x14ac:dyDescent="0.35">
      <c r="C344" s="20"/>
      <c r="D344" s="20"/>
      <c r="E344" s="27"/>
      <c r="F344" s="27" t="s">
        <v>160</v>
      </c>
      <c r="G344" s="28" t="s">
        <v>151</v>
      </c>
      <c r="H344" s="28" t="s">
        <v>151</v>
      </c>
      <c r="I344" s="35" t="s">
        <v>553</v>
      </c>
      <c r="J344" s="35"/>
      <c r="K344" s="35"/>
      <c r="L344" s="35"/>
      <c r="M344" s="28"/>
      <c r="N344" s="53"/>
      <c r="O344" s="54"/>
      <c r="P344" s="55"/>
      <c r="Q344" s="32">
        <v>0</v>
      </c>
    </row>
    <row r="345" spans="1:18" x14ac:dyDescent="0.35">
      <c r="N345" s="51"/>
      <c r="O345" s="38"/>
      <c r="P345" s="52"/>
    </row>
    <row r="346" spans="1:18" x14ac:dyDescent="0.35">
      <c r="E346" s="17" t="s">
        <v>5</v>
      </c>
      <c r="F346" s="17" t="s">
        <v>709</v>
      </c>
      <c r="G346" s="9" t="s">
        <v>701</v>
      </c>
      <c r="H346" s="9" t="s">
        <v>6</v>
      </c>
      <c r="I346" s="10" t="s">
        <v>461</v>
      </c>
      <c r="J346" s="9" t="s">
        <v>768</v>
      </c>
      <c r="K346" s="9" t="s">
        <v>421</v>
      </c>
      <c r="L346" s="9" t="s">
        <v>422</v>
      </c>
      <c r="M346" s="9"/>
      <c r="N346" s="45">
        <v>462</v>
      </c>
      <c r="O346" s="46">
        <v>4140</v>
      </c>
      <c r="P346" s="47">
        <v>15</v>
      </c>
      <c r="Q346" s="23">
        <v>1</v>
      </c>
      <c r="R346" s="9" t="s">
        <v>99</v>
      </c>
    </row>
    <row r="347" spans="1:18" x14ac:dyDescent="0.35">
      <c r="E347" s="17"/>
      <c r="F347" s="17" t="s">
        <v>709</v>
      </c>
      <c r="G347" s="9" t="s">
        <v>419</v>
      </c>
      <c r="H347" s="9" t="s">
        <v>420</v>
      </c>
      <c r="I347" s="9" t="s">
        <v>103</v>
      </c>
      <c r="J347" s="9"/>
      <c r="K347" s="9" t="s">
        <v>421</v>
      </c>
      <c r="L347" s="9" t="s">
        <v>422</v>
      </c>
      <c r="M347" s="9"/>
      <c r="N347" s="45">
        <v>462</v>
      </c>
      <c r="O347" s="46">
        <v>4140</v>
      </c>
      <c r="P347" s="47">
        <v>15</v>
      </c>
      <c r="Q347" s="23">
        <v>1</v>
      </c>
      <c r="R347" s="9" t="s">
        <v>99</v>
      </c>
    </row>
    <row r="348" spans="1:18" x14ac:dyDescent="0.35">
      <c r="E348" s="17"/>
      <c r="F348" s="17" t="s">
        <v>156</v>
      </c>
      <c r="G348" s="9" t="s">
        <v>151</v>
      </c>
      <c r="H348" s="9" t="s">
        <v>6</v>
      </c>
      <c r="I348" s="9" t="s">
        <v>190</v>
      </c>
      <c r="J348" s="9" t="s">
        <v>75</v>
      </c>
      <c r="K348" s="9" t="s">
        <v>424</v>
      </c>
      <c r="L348" s="9" t="s">
        <v>73</v>
      </c>
      <c r="M348" s="9"/>
      <c r="N348" s="45">
        <v>360</v>
      </c>
      <c r="O348" s="46">
        <v>4980</v>
      </c>
      <c r="P348" s="47">
        <v>184</v>
      </c>
      <c r="Q348" s="23">
        <v>1</v>
      </c>
      <c r="R348" s="9" t="s">
        <v>99</v>
      </c>
    </row>
    <row r="349" spans="1:18" x14ac:dyDescent="0.35">
      <c r="E349" s="17"/>
      <c r="F349" s="17" t="s">
        <v>133</v>
      </c>
      <c r="G349" s="9" t="s">
        <v>165</v>
      </c>
      <c r="H349" s="9" t="s">
        <v>24</v>
      </c>
      <c r="I349" s="9" t="s">
        <v>166</v>
      </c>
      <c r="J349" s="9" t="s">
        <v>74</v>
      </c>
      <c r="K349" s="9" t="s">
        <v>18</v>
      </c>
      <c r="L349" s="9" t="s">
        <v>74</v>
      </c>
      <c r="M349" s="9"/>
      <c r="N349" s="45">
        <f>69*0.89</f>
        <v>61.410000000000004</v>
      </c>
      <c r="O349" s="46">
        <f>19*239*0.89</f>
        <v>4041.4900000000002</v>
      </c>
      <c r="P349" s="47">
        <f>35*0.89</f>
        <v>31.150000000000002</v>
      </c>
      <c r="Q349" s="23">
        <v>0.1</v>
      </c>
      <c r="R349" s="10" t="s">
        <v>699</v>
      </c>
    </row>
    <row r="350" spans="1:18" x14ac:dyDescent="0.35">
      <c r="E350" s="17"/>
      <c r="M350" s="9"/>
      <c r="N350" s="45"/>
      <c r="O350" s="46"/>
      <c r="P350" s="47"/>
    </row>
    <row r="351" spans="1:18" x14ac:dyDescent="0.35">
      <c r="E351" s="24" t="s">
        <v>163</v>
      </c>
      <c r="F351" s="24" t="s">
        <v>148</v>
      </c>
      <c r="G351" s="25" t="s">
        <v>151</v>
      </c>
      <c r="H351" s="25" t="s">
        <v>151</v>
      </c>
      <c r="I351" s="25" t="s">
        <v>425</v>
      </c>
      <c r="J351" s="25"/>
      <c r="K351" s="25" t="s">
        <v>426</v>
      </c>
      <c r="L351" s="25" t="s">
        <v>427</v>
      </c>
      <c r="M351" s="25"/>
      <c r="N351" s="48"/>
      <c r="O351" s="46"/>
      <c r="P351" s="47"/>
      <c r="Q351" s="26">
        <v>0</v>
      </c>
    </row>
    <row r="352" spans="1:18" x14ac:dyDescent="0.35">
      <c r="E352" s="24"/>
      <c r="F352" s="24" t="s">
        <v>147</v>
      </c>
      <c r="G352" s="25" t="s">
        <v>151</v>
      </c>
      <c r="H352" s="25" t="s">
        <v>151</v>
      </c>
      <c r="I352" s="25" t="s">
        <v>428</v>
      </c>
      <c r="J352" s="25"/>
      <c r="K352" s="25" t="s">
        <v>429</v>
      </c>
      <c r="L352" s="25" t="s">
        <v>430</v>
      </c>
      <c r="M352" s="25"/>
      <c r="N352" s="48"/>
      <c r="O352" s="38"/>
      <c r="P352" s="52"/>
      <c r="Q352" s="26">
        <v>1</v>
      </c>
      <c r="R352" s="25" t="s">
        <v>99</v>
      </c>
    </row>
    <row r="353" spans="2:18" x14ac:dyDescent="0.35">
      <c r="F353" s="24" t="s">
        <v>133</v>
      </c>
      <c r="G353" s="25" t="s">
        <v>165</v>
      </c>
      <c r="H353" s="25" t="s">
        <v>24</v>
      </c>
      <c r="I353" s="25" t="s">
        <v>166</v>
      </c>
      <c r="J353" s="25" t="s">
        <v>74</v>
      </c>
      <c r="K353" s="25" t="s">
        <v>18</v>
      </c>
      <c r="L353" s="25" t="s">
        <v>74</v>
      </c>
      <c r="M353" s="25"/>
      <c r="N353" s="48">
        <f>69*0.89</f>
        <v>61.410000000000004</v>
      </c>
      <c r="O353" s="49">
        <f>19*239*0.89</f>
        <v>4041.4900000000002</v>
      </c>
      <c r="P353" s="50">
        <f>35*0.89</f>
        <v>31.150000000000002</v>
      </c>
      <c r="Q353" s="26">
        <v>0.1</v>
      </c>
      <c r="R353" s="44" t="s">
        <v>699</v>
      </c>
    </row>
    <row r="354" spans="2:18" x14ac:dyDescent="0.35">
      <c r="B354" s="20"/>
      <c r="N354" s="51"/>
      <c r="O354" s="38"/>
      <c r="P354" s="52"/>
    </row>
    <row r="355" spans="2:18" x14ac:dyDescent="0.35">
      <c r="C355" s="15" t="s">
        <v>76</v>
      </c>
      <c r="E355" s="27" t="s">
        <v>7</v>
      </c>
      <c r="F355" s="27" t="s">
        <v>158</v>
      </c>
      <c r="G355" s="28" t="s">
        <v>151</v>
      </c>
      <c r="H355" s="28" t="s">
        <v>151</v>
      </c>
      <c r="I355" s="28" t="s">
        <v>139</v>
      </c>
      <c r="J355" s="28"/>
      <c r="K355" s="28" t="s">
        <v>431</v>
      </c>
      <c r="L355" s="28" t="s">
        <v>431</v>
      </c>
      <c r="M355" s="28"/>
      <c r="N355" s="53"/>
      <c r="O355" s="54"/>
      <c r="P355" s="55"/>
      <c r="Q355" s="32">
        <v>1</v>
      </c>
      <c r="R355" s="36" t="s">
        <v>698</v>
      </c>
    </row>
    <row r="356" spans="2:18" x14ac:dyDescent="0.35">
      <c r="E356" s="27"/>
      <c r="F356" s="27" t="s">
        <v>159</v>
      </c>
      <c r="G356" s="28" t="s">
        <v>151</v>
      </c>
      <c r="H356" s="28" t="s">
        <v>151</v>
      </c>
      <c r="I356" s="28" t="s">
        <v>139</v>
      </c>
      <c r="J356" s="28"/>
      <c r="K356" s="28" t="s">
        <v>432</v>
      </c>
      <c r="L356" s="28" t="s">
        <v>431</v>
      </c>
      <c r="M356" s="28"/>
      <c r="N356" s="53"/>
      <c r="O356" s="54"/>
      <c r="P356" s="55"/>
      <c r="Q356" s="32">
        <v>0</v>
      </c>
      <c r="R356" s="28"/>
    </row>
    <row r="357" spans="2:18" x14ac:dyDescent="0.35">
      <c r="E357" s="27"/>
      <c r="F357" s="27" t="s">
        <v>160</v>
      </c>
      <c r="G357" s="28" t="s">
        <v>151</v>
      </c>
      <c r="H357" s="28" t="s">
        <v>151</v>
      </c>
      <c r="I357" s="35" t="s">
        <v>553</v>
      </c>
      <c r="J357" s="35"/>
      <c r="K357" s="35"/>
      <c r="L357" s="35"/>
      <c r="M357" s="28"/>
      <c r="N357" s="53"/>
      <c r="O357" s="54"/>
      <c r="P357" s="55"/>
      <c r="Q357" s="32">
        <v>0</v>
      </c>
      <c r="R357" s="28"/>
    </row>
    <row r="358" spans="2:18" x14ac:dyDescent="0.35">
      <c r="N358" s="51"/>
      <c r="O358" s="38"/>
      <c r="P358" s="52"/>
    </row>
    <row r="359" spans="2:18" x14ac:dyDescent="0.35">
      <c r="E359" s="17" t="s">
        <v>5</v>
      </c>
      <c r="F359" s="17" t="s">
        <v>709</v>
      </c>
      <c r="G359" s="9" t="s">
        <v>151</v>
      </c>
      <c r="H359" s="9" t="s">
        <v>6</v>
      </c>
      <c r="I359" s="10" t="s">
        <v>433</v>
      </c>
      <c r="J359" s="9" t="s">
        <v>434</v>
      </c>
      <c r="K359" s="9" t="s">
        <v>435</v>
      </c>
      <c r="L359" s="9" t="s">
        <v>436</v>
      </c>
      <c r="M359" s="9"/>
      <c r="N359" s="45">
        <v>273</v>
      </c>
      <c r="O359" s="46">
        <v>4110</v>
      </c>
      <c r="P359" s="47">
        <v>19</v>
      </c>
      <c r="Q359" s="23">
        <v>1</v>
      </c>
      <c r="R359" s="10" t="s">
        <v>698</v>
      </c>
    </row>
    <row r="360" spans="2:18" x14ac:dyDescent="0.35">
      <c r="C360" s="19"/>
      <c r="D360" s="19"/>
      <c r="E360" s="17"/>
      <c r="F360" s="17" t="s">
        <v>156</v>
      </c>
      <c r="G360" s="9" t="s">
        <v>151</v>
      </c>
      <c r="H360" s="9" t="s">
        <v>6</v>
      </c>
      <c r="I360" s="9" t="s">
        <v>190</v>
      </c>
      <c r="J360" s="9" t="s">
        <v>437</v>
      </c>
      <c r="K360" s="9"/>
      <c r="L360" s="9" t="s">
        <v>438</v>
      </c>
      <c r="M360" s="9"/>
      <c r="N360" s="45">
        <v>148</v>
      </c>
      <c r="O360" s="46">
        <v>6350</v>
      </c>
      <c r="P360" s="47">
        <v>445</v>
      </c>
      <c r="Q360" s="23">
        <v>1</v>
      </c>
      <c r="R360" s="10" t="s">
        <v>698</v>
      </c>
    </row>
    <row r="361" spans="2:18" x14ac:dyDescent="0.35">
      <c r="E361" s="17"/>
      <c r="F361" s="17" t="s">
        <v>133</v>
      </c>
      <c r="G361" s="9" t="s">
        <v>165</v>
      </c>
      <c r="H361" s="9" t="s">
        <v>24</v>
      </c>
      <c r="I361" s="9" t="s">
        <v>166</v>
      </c>
      <c r="J361" s="9" t="s">
        <v>515</v>
      </c>
      <c r="K361" s="9" t="s">
        <v>18</v>
      </c>
      <c r="L361" s="9" t="s">
        <v>515</v>
      </c>
      <c r="M361" s="9"/>
      <c r="N361" s="45">
        <f>57*0.76</f>
        <v>43.32</v>
      </c>
      <c r="O361" s="46">
        <f>18.3*239*0.76</f>
        <v>3324.0119999999997</v>
      </c>
      <c r="P361" s="47">
        <v>13</v>
      </c>
      <c r="Q361" s="23">
        <v>0.1</v>
      </c>
      <c r="R361" s="10" t="s">
        <v>699</v>
      </c>
    </row>
    <row r="362" spans="2:18" x14ac:dyDescent="0.35">
      <c r="E362" s="17"/>
      <c r="M362" s="9"/>
      <c r="N362" s="45"/>
      <c r="O362" s="46"/>
      <c r="P362" s="47"/>
    </row>
    <row r="363" spans="2:18" x14ac:dyDescent="0.35">
      <c r="E363" s="24" t="s">
        <v>163</v>
      </c>
      <c r="F363" s="24" t="s">
        <v>148</v>
      </c>
      <c r="G363" s="25" t="s">
        <v>151</v>
      </c>
      <c r="H363" s="25" t="s">
        <v>151</v>
      </c>
      <c r="I363" s="25" t="s">
        <v>439</v>
      </c>
      <c r="J363" s="25"/>
      <c r="K363" s="25" t="s">
        <v>440</v>
      </c>
      <c r="L363" s="25" t="s">
        <v>441</v>
      </c>
      <c r="M363" s="25"/>
      <c r="N363" s="48"/>
      <c r="O363" s="46"/>
      <c r="P363" s="47"/>
      <c r="Q363" s="26">
        <v>0</v>
      </c>
    </row>
    <row r="364" spans="2:18" x14ac:dyDescent="0.35">
      <c r="E364" s="24"/>
      <c r="F364" s="24" t="s">
        <v>147</v>
      </c>
      <c r="G364" s="25" t="s">
        <v>151</v>
      </c>
      <c r="H364" s="25" t="s">
        <v>151</v>
      </c>
      <c r="I364" s="25" t="s">
        <v>405</v>
      </c>
      <c r="J364" s="25"/>
      <c r="K364" s="25" t="s">
        <v>442</v>
      </c>
      <c r="L364" s="25" t="s">
        <v>443</v>
      </c>
      <c r="M364" s="25"/>
      <c r="N364" s="48"/>
      <c r="O364" s="38"/>
      <c r="P364" s="52"/>
      <c r="Q364" s="26">
        <v>1</v>
      </c>
      <c r="R364" s="44" t="s">
        <v>698</v>
      </c>
    </row>
    <row r="365" spans="2:18" x14ac:dyDescent="0.35">
      <c r="C365" s="37"/>
      <c r="D365" s="37"/>
      <c r="E365" s="24"/>
      <c r="F365" s="24" t="s">
        <v>133</v>
      </c>
      <c r="G365" s="25" t="s">
        <v>165</v>
      </c>
      <c r="H365" s="25" t="s">
        <v>24</v>
      </c>
      <c r="I365" s="25" t="s">
        <v>166</v>
      </c>
      <c r="J365" s="25" t="s">
        <v>515</v>
      </c>
      <c r="K365" s="25" t="s">
        <v>18</v>
      </c>
      <c r="L365" s="25" t="s">
        <v>515</v>
      </c>
      <c r="M365" s="25"/>
      <c r="N365" s="48">
        <f>57*0.76</f>
        <v>43.32</v>
      </c>
      <c r="O365" s="49">
        <f>18.3*239*0.76</f>
        <v>3324.0119999999997</v>
      </c>
      <c r="P365" s="50">
        <v>13</v>
      </c>
      <c r="Q365" s="26">
        <v>0.1</v>
      </c>
      <c r="R365" s="44" t="s">
        <v>699</v>
      </c>
    </row>
    <row r="366" spans="2:18" x14ac:dyDescent="0.35">
      <c r="N366" s="51"/>
      <c r="O366" s="38"/>
      <c r="P366" s="52"/>
      <c r="R366" s="6"/>
    </row>
    <row r="367" spans="2:18" x14ac:dyDescent="0.35">
      <c r="B367" s="14" t="s">
        <v>77</v>
      </c>
      <c r="N367" s="51"/>
      <c r="O367" s="38"/>
      <c r="P367" s="52"/>
    </row>
    <row r="368" spans="2:18" x14ac:dyDescent="0.35">
      <c r="C368" s="15" t="s">
        <v>78</v>
      </c>
      <c r="E368" s="27" t="s">
        <v>7</v>
      </c>
      <c r="F368" s="27" t="s">
        <v>158</v>
      </c>
      <c r="G368" s="28" t="s">
        <v>151</v>
      </c>
      <c r="H368" s="28" t="s">
        <v>151</v>
      </c>
      <c r="I368" s="28" t="s">
        <v>139</v>
      </c>
      <c r="J368" s="28"/>
      <c r="K368" s="28" t="s">
        <v>464</v>
      </c>
      <c r="L368" s="28" t="s">
        <v>78</v>
      </c>
      <c r="M368" s="28"/>
      <c r="N368" s="53"/>
      <c r="O368" s="54"/>
      <c r="P368" s="55"/>
      <c r="Q368" s="32">
        <v>1</v>
      </c>
      <c r="R368" s="36" t="s">
        <v>117</v>
      </c>
    </row>
    <row r="369" spans="1:18" x14ac:dyDescent="0.35">
      <c r="E369" s="27"/>
      <c r="F369" s="27" t="s">
        <v>159</v>
      </c>
      <c r="G369" s="28" t="s">
        <v>152</v>
      </c>
      <c r="H369" s="28" t="s">
        <v>152</v>
      </c>
      <c r="I369" s="28" t="s">
        <v>140</v>
      </c>
      <c r="J369" s="28"/>
      <c r="K369" s="28" t="s">
        <v>465</v>
      </c>
      <c r="L369" s="28" t="s">
        <v>78</v>
      </c>
      <c r="M369" s="28"/>
      <c r="N369" s="53"/>
      <c r="O369" s="54"/>
      <c r="P369" s="55"/>
      <c r="Q369" s="32">
        <v>0.4</v>
      </c>
      <c r="R369" s="28" t="s">
        <v>469</v>
      </c>
    </row>
    <row r="370" spans="1:18" x14ac:dyDescent="0.35">
      <c r="E370" s="27"/>
      <c r="F370" s="27" t="s">
        <v>160</v>
      </c>
      <c r="G370" s="28" t="s">
        <v>151</v>
      </c>
      <c r="H370" s="28" t="s">
        <v>151</v>
      </c>
      <c r="I370" s="35" t="s">
        <v>553</v>
      </c>
      <c r="J370" s="35"/>
      <c r="K370" s="35"/>
      <c r="L370" s="35"/>
      <c r="M370" s="28"/>
      <c r="N370" s="53"/>
      <c r="O370" s="54"/>
      <c r="P370" s="55"/>
      <c r="Q370" s="32"/>
      <c r="R370" s="28"/>
    </row>
    <row r="371" spans="1:18" x14ac:dyDescent="0.35">
      <c r="N371" s="51"/>
      <c r="O371" s="38"/>
      <c r="P371" s="52"/>
    </row>
    <row r="372" spans="1:18" x14ac:dyDescent="0.35">
      <c r="A372" s="2"/>
      <c r="E372" s="17" t="s">
        <v>5</v>
      </c>
      <c r="F372" s="17" t="s">
        <v>153</v>
      </c>
      <c r="G372" s="9" t="s">
        <v>151</v>
      </c>
      <c r="H372" s="9" t="s">
        <v>6</v>
      </c>
      <c r="I372" s="9" t="s">
        <v>769</v>
      </c>
      <c r="J372" s="9" t="s">
        <v>771</v>
      </c>
      <c r="K372" s="9" t="s">
        <v>473</v>
      </c>
      <c r="L372" s="9" t="s">
        <v>472</v>
      </c>
      <c r="N372" s="45">
        <f>47*0.33</f>
        <v>15.510000000000002</v>
      </c>
      <c r="O372" s="46">
        <f>3660*0.33</f>
        <v>1207.8</v>
      </c>
      <c r="P372" s="47">
        <f>13*0.33</f>
        <v>4.29</v>
      </c>
      <c r="Q372" s="23">
        <v>1</v>
      </c>
    </row>
    <row r="373" spans="1:18" x14ac:dyDescent="0.35">
      <c r="E373" s="17"/>
      <c r="F373" s="17" t="s">
        <v>154</v>
      </c>
      <c r="G373" s="9" t="s">
        <v>24</v>
      </c>
      <c r="H373" s="9" t="s">
        <v>24</v>
      </c>
      <c r="I373" s="9" t="s">
        <v>466</v>
      </c>
      <c r="J373" s="9" t="s">
        <v>79</v>
      </c>
      <c r="K373" s="9" t="s">
        <v>473</v>
      </c>
      <c r="L373" s="9" t="s">
        <v>472</v>
      </c>
      <c r="N373" s="45">
        <f>100/5</f>
        <v>20</v>
      </c>
      <c r="O373" s="46">
        <f>17.1*239/5</f>
        <v>817.38000000000011</v>
      </c>
      <c r="P373" s="47">
        <f>70/5</f>
        <v>14</v>
      </c>
      <c r="Q373" s="23">
        <v>1</v>
      </c>
    </row>
    <row r="374" spans="1:18" x14ac:dyDescent="0.35">
      <c r="E374" s="17"/>
      <c r="F374" s="17" t="s">
        <v>156</v>
      </c>
      <c r="G374" s="9" t="s">
        <v>151</v>
      </c>
      <c r="H374" s="9" t="s">
        <v>6</v>
      </c>
      <c r="I374" s="9" t="s">
        <v>190</v>
      </c>
      <c r="J374" s="9" t="s">
        <v>770</v>
      </c>
      <c r="K374" s="9" t="s">
        <v>470</v>
      </c>
      <c r="L374" s="9" t="s">
        <v>471</v>
      </c>
      <c r="N374" s="45">
        <f>92/4.5</f>
        <v>20.444444444444443</v>
      </c>
      <c r="O374" s="46">
        <f>3620/4.5</f>
        <v>804.44444444444446</v>
      </c>
      <c r="P374" s="47">
        <f>4/4.5</f>
        <v>0.88888888888888884</v>
      </c>
      <c r="Q374" s="23">
        <v>1</v>
      </c>
    </row>
    <row r="375" spans="1:18" x14ac:dyDescent="0.35">
      <c r="E375" s="17"/>
      <c r="F375" s="17" t="s">
        <v>157</v>
      </c>
      <c r="G375" s="9" t="s">
        <v>165</v>
      </c>
      <c r="H375" s="9" t="s">
        <v>467</v>
      </c>
      <c r="I375" s="9" t="s">
        <v>166</v>
      </c>
      <c r="J375" s="9" t="s">
        <v>782</v>
      </c>
      <c r="K375" s="9" t="s">
        <v>18</v>
      </c>
      <c r="L375" s="9" t="s">
        <v>468</v>
      </c>
      <c r="N375" s="45">
        <f>165*0.13</f>
        <v>21.45</v>
      </c>
      <c r="O375" s="46">
        <f>18.3*239*0.13</f>
        <v>568.58100000000002</v>
      </c>
      <c r="P375" s="47">
        <f>48*0.13</f>
        <v>6.24</v>
      </c>
      <c r="Q375" s="23">
        <v>0.1</v>
      </c>
    </row>
    <row r="376" spans="1:18" x14ac:dyDescent="0.35">
      <c r="E376" s="17"/>
      <c r="F376" s="17"/>
      <c r="G376" s="9"/>
      <c r="H376" s="9"/>
      <c r="I376" s="9"/>
      <c r="J376" s="9"/>
      <c r="K376" s="9"/>
      <c r="L376" s="9"/>
      <c r="N376" s="51"/>
      <c r="O376" s="38"/>
      <c r="P376" s="52"/>
    </row>
    <row r="377" spans="1:18" x14ac:dyDescent="0.35">
      <c r="E377" s="24" t="s">
        <v>163</v>
      </c>
      <c r="F377" s="24" t="s">
        <v>148</v>
      </c>
      <c r="G377" s="25" t="s">
        <v>152</v>
      </c>
      <c r="H377" s="25" t="s">
        <v>152</v>
      </c>
      <c r="I377" s="25" t="s">
        <v>140</v>
      </c>
      <c r="J377" s="25"/>
      <c r="K377" s="25" t="s">
        <v>474</v>
      </c>
      <c r="L377" s="25" t="s">
        <v>476</v>
      </c>
      <c r="N377" s="51"/>
      <c r="O377" s="38"/>
      <c r="P377" s="52"/>
      <c r="Q377" s="33">
        <v>0.4</v>
      </c>
    </row>
    <row r="378" spans="1:18" x14ac:dyDescent="0.35">
      <c r="E378" s="24"/>
      <c r="F378" s="24" t="s">
        <v>824</v>
      </c>
      <c r="G378" s="25" t="s">
        <v>165</v>
      </c>
      <c r="H378" s="25" t="s">
        <v>6</v>
      </c>
      <c r="I378" s="25" t="s">
        <v>829</v>
      </c>
      <c r="J378" s="25" t="s">
        <v>830</v>
      </c>
      <c r="K378" s="25" t="s">
        <v>831</v>
      </c>
      <c r="L378" s="25" t="s">
        <v>832</v>
      </c>
      <c r="N378" s="51"/>
      <c r="O378" s="38"/>
      <c r="P378" s="52"/>
      <c r="Q378" s="33">
        <v>0.4</v>
      </c>
      <c r="R378" s="44"/>
    </row>
    <row r="379" spans="1:18" x14ac:dyDescent="0.35">
      <c r="E379" s="24"/>
      <c r="F379" s="24" t="s">
        <v>147</v>
      </c>
      <c r="G379" s="25" t="s">
        <v>151</v>
      </c>
      <c r="H379" s="25" t="s">
        <v>151</v>
      </c>
      <c r="I379" s="25" t="s">
        <v>140</v>
      </c>
      <c r="J379" s="25"/>
      <c r="K379" s="25" t="s">
        <v>475</v>
      </c>
      <c r="L379" s="25" t="s">
        <v>477</v>
      </c>
      <c r="N379" s="51"/>
      <c r="O379" s="38"/>
      <c r="P379" s="52"/>
      <c r="Q379" s="33">
        <v>1</v>
      </c>
    </row>
    <row r="380" spans="1:18" x14ac:dyDescent="0.35">
      <c r="E380" s="24"/>
      <c r="F380" s="24" t="s">
        <v>478</v>
      </c>
      <c r="G380" s="25" t="s">
        <v>165</v>
      </c>
      <c r="H380" s="25" t="s">
        <v>467</v>
      </c>
      <c r="I380" s="25" t="s">
        <v>166</v>
      </c>
      <c r="J380" s="25" t="s">
        <v>782</v>
      </c>
      <c r="K380" s="25" t="s">
        <v>18</v>
      </c>
      <c r="L380" s="25" t="s">
        <v>468</v>
      </c>
      <c r="M380" s="25"/>
      <c r="N380" s="48">
        <f>165*0.13</f>
        <v>21.45</v>
      </c>
      <c r="O380" s="49">
        <f>18.3*239*0.13</f>
        <v>568.58100000000002</v>
      </c>
      <c r="P380" s="50">
        <f>48*0.13</f>
        <v>6.24</v>
      </c>
      <c r="Q380" s="33">
        <v>0.1</v>
      </c>
    </row>
    <row r="381" spans="1:18" x14ac:dyDescent="0.35">
      <c r="N381" s="51"/>
      <c r="O381" s="38"/>
      <c r="P381" s="52"/>
    </row>
    <row r="382" spans="1:18" x14ac:dyDescent="0.35">
      <c r="C382" s="15" t="s">
        <v>81</v>
      </c>
      <c r="E382" s="27" t="s">
        <v>7</v>
      </c>
      <c r="F382" s="27" t="s">
        <v>158</v>
      </c>
      <c r="G382" s="28" t="s">
        <v>151</v>
      </c>
      <c r="H382" s="28" t="s">
        <v>151</v>
      </c>
      <c r="I382" s="28" t="s">
        <v>139</v>
      </c>
      <c r="J382" s="28"/>
      <c r="K382" s="28" t="s">
        <v>479</v>
      </c>
      <c r="L382" s="28" t="s">
        <v>81</v>
      </c>
      <c r="M382" s="28"/>
      <c r="N382" s="53"/>
      <c r="O382" s="54"/>
      <c r="P382" s="55"/>
      <c r="Q382" s="32">
        <v>1</v>
      </c>
      <c r="R382" s="36" t="s">
        <v>117</v>
      </c>
    </row>
    <row r="383" spans="1:18" x14ac:dyDescent="0.35">
      <c r="E383" s="27"/>
      <c r="F383" s="27" t="s">
        <v>159</v>
      </c>
      <c r="G383" s="28" t="s">
        <v>152</v>
      </c>
      <c r="H383" s="28" t="s">
        <v>152</v>
      </c>
      <c r="I383" s="28" t="s">
        <v>140</v>
      </c>
      <c r="J383" s="28"/>
      <c r="K383" s="28" t="s">
        <v>480</v>
      </c>
      <c r="L383" s="28" t="s">
        <v>81</v>
      </c>
      <c r="M383" s="28"/>
      <c r="N383" s="53"/>
      <c r="O383" s="54"/>
      <c r="P383" s="55"/>
      <c r="Q383" s="32">
        <v>0.4</v>
      </c>
      <c r="R383" s="28" t="s">
        <v>469</v>
      </c>
    </row>
    <row r="384" spans="1:18" x14ac:dyDescent="0.35">
      <c r="E384" s="27"/>
      <c r="F384" s="27" t="s">
        <v>160</v>
      </c>
      <c r="G384" s="28" t="s">
        <v>151</v>
      </c>
      <c r="H384" s="28" t="s">
        <v>151</v>
      </c>
      <c r="I384" s="35" t="s">
        <v>553</v>
      </c>
      <c r="J384" s="35"/>
      <c r="K384" s="35"/>
      <c r="L384" s="35"/>
      <c r="M384" s="28"/>
      <c r="N384" s="53"/>
      <c r="O384" s="54"/>
      <c r="P384" s="55"/>
      <c r="Q384" s="32"/>
      <c r="R384" s="28"/>
    </row>
    <row r="385" spans="1:18" x14ac:dyDescent="0.35">
      <c r="N385" s="51"/>
      <c r="O385" s="38"/>
      <c r="P385" s="52"/>
    </row>
    <row r="386" spans="1:18" x14ac:dyDescent="0.35">
      <c r="A386" s="2"/>
      <c r="E386" s="17" t="s">
        <v>5</v>
      </c>
      <c r="F386" s="17" t="s">
        <v>153</v>
      </c>
      <c r="G386" s="9" t="s">
        <v>151</v>
      </c>
      <c r="H386" s="9" t="s">
        <v>6</v>
      </c>
      <c r="I386" s="9" t="s">
        <v>772</v>
      </c>
      <c r="J386" s="9" t="s">
        <v>82</v>
      </c>
      <c r="K386" s="9" t="s">
        <v>482</v>
      </c>
      <c r="L386" s="9" t="s">
        <v>484</v>
      </c>
      <c r="N386" s="45">
        <f>20*0.33</f>
        <v>6.6000000000000005</v>
      </c>
      <c r="O386" s="46">
        <f>3730*0.33</f>
        <v>1230.9000000000001</v>
      </c>
      <c r="P386" s="47">
        <f>13*0.33</f>
        <v>4.29</v>
      </c>
      <c r="Q386" s="23">
        <v>1</v>
      </c>
    </row>
    <row r="387" spans="1:18" x14ac:dyDescent="0.35">
      <c r="E387" s="17"/>
      <c r="F387" s="17" t="s">
        <v>153</v>
      </c>
      <c r="G387" s="9" t="s">
        <v>24</v>
      </c>
      <c r="H387" s="9" t="s">
        <v>24</v>
      </c>
      <c r="I387" s="9" t="s">
        <v>466</v>
      </c>
      <c r="J387" s="9" t="s">
        <v>83</v>
      </c>
      <c r="K387" s="9" t="s">
        <v>482</v>
      </c>
      <c r="L387" s="9" t="s">
        <v>484</v>
      </c>
      <c r="N387" s="45">
        <f>48*0.28</f>
        <v>13.440000000000001</v>
      </c>
      <c r="O387" s="46">
        <f>17.7*239*0.28</f>
        <v>1184.4840000000002</v>
      </c>
      <c r="P387" s="47">
        <f>13*0.28</f>
        <v>3.6400000000000006</v>
      </c>
      <c r="Q387" s="23">
        <v>1</v>
      </c>
    </row>
    <row r="388" spans="1:18" x14ac:dyDescent="0.35">
      <c r="E388" s="17"/>
      <c r="F388" s="17" t="s">
        <v>156</v>
      </c>
      <c r="G388" s="9" t="s">
        <v>151</v>
      </c>
      <c r="H388" s="9" t="s">
        <v>151</v>
      </c>
      <c r="I388" s="9" t="s">
        <v>190</v>
      </c>
      <c r="J388" s="9" t="s">
        <v>481</v>
      </c>
      <c r="K388" s="9" t="s">
        <v>470</v>
      </c>
      <c r="L388" s="9" t="s">
        <v>483</v>
      </c>
      <c r="N388" s="51"/>
      <c r="O388" s="38"/>
      <c r="P388" s="52"/>
      <c r="Q388" s="23">
        <v>1</v>
      </c>
    </row>
    <row r="389" spans="1:18" x14ac:dyDescent="0.35">
      <c r="E389" s="17"/>
      <c r="F389" s="17" t="s">
        <v>157</v>
      </c>
      <c r="G389" s="9" t="s">
        <v>165</v>
      </c>
      <c r="H389" s="9" t="s">
        <v>467</v>
      </c>
      <c r="I389" s="9" t="s">
        <v>166</v>
      </c>
      <c r="J389" s="9" t="s">
        <v>80</v>
      </c>
      <c r="K389" s="9" t="s">
        <v>18</v>
      </c>
      <c r="L389" s="9" t="s">
        <v>468</v>
      </c>
      <c r="N389" s="45">
        <f>250*0.23</f>
        <v>57.5</v>
      </c>
      <c r="O389" s="46">
        <f>19.9*239*0.23</f>
        <v>1093.903</v>
      </c>
      <c r="P389" s="47">
        <f>68*0.23</f>
        <v>15.64</v>
      </c>
      <c r="Q389" s="23">
        <v>0.1</v>
      </c>
    </row>
    <row r="390" spans="1:18" x14ac:dyDescent="0.35">
      <c r="E390" s="17"/>
      <c r="F390" s="17"/>
      <c r="G390" s="9"/>
      <c r="H390" s="9"/>
      <c r="I390" s="9"/>
      <c r="J390" s="9"/>
      <c r="K390" s="9"/>
      <c r="L390" s="9"/>
      <c r="N390" s="51"/>
      <c r="O390" s="38"/>
      <c r="P390" s="52"/>
    </row>
    <row r="391" spans="1:18" x14ac:dyDescent="0.35">
      <c r="E391" s="24" t="s">
        <v>163</v>
      </c>
      <c r="F391" s="24" t="s">
        <v>148</v>
      </c>
      <c r="G391" s="25" t="s">
        <v>152</v>
      </c>
      <c r="H391" s="25" t="s">
        <v>152</v>
      </c>
      <c r="I391" s="25" t="s">
        <v>140</v>
      </c>
      <c r="J391" s="25"/>
      <c r="K391" s="25" t="s">
        <v>488</v>
      </c>
      <c r="L391" s="25" t="s">
        <v>485</v>
      </c>
      <c r="N391" s="51"/>
      <c r="O391" s="38"/>
      <c r="P391" s="52"/>
      <c r="Q391" s="33">
        <v>0.4</v>
      </c>
    </row>
    <row r="392" spans="1:18" x14ac:dyDescent="0.35">
      <c r="E392" s="24"/>
      <c r="F392" s="24" t="s">
        <v>824</v>
      </c>
      <c r="G392" s="25" t="s">
        <v>165</v>
      </c>
      <c r="H392" s="25" t="s">
        <v>6</v>
      </c>
      <c r="I392" s="25" t="s">
        <v>829</v>
      </c>
      <c r="J392" s="25" t="s">
        <v>833</v>
      </c>
      <c r="K392" s="25" t="s">
        <v>482</v>
      </c>
      <c r="L392" s="25" t="s">
        <v>834</v>
      </c>
      <c r="N392" s="51"/>
      <c r="O392" s="38"/>
      <c r="P392" s="52"/>
      <c r="Q392" s="33">
        <v>0.4</v>
      </c>
    </row>
    <row r="393" spans="1:18" x14ac:dyDescent="0.35">
      <c r="E393" s="24"/>
      <c r="F393" s="24" t="s">
        <v>147</v>
      </c>
      <c r="G393" s="25" t="s">
        <v>151</v>
      </c>
      <c r="H393" s="25" t="s">
        <v>151</v>
      </c>
      <c r="I393" s="25" t="s">
        <v>140</v>
      </c>
      <c r="J393" s="25"/>
      <c r="K393" s="25" t="s">
        <v>489</v>
      </c>
      <c r="L393" s="25" t="s">
        <v>486</v>
      </c>
      <c r="N393" s="51"/>
      <c r="O393" s="38"/>
      <c r="P393" s="52"/>
      <c r="Q393" s="33">
        <v>1</v>
      </c>
    </row>
    <row r="394" spans="1:18" x14ac:dyDescent="0.35">
      <c r="E394" s="24"/>
      <c r="F394" s="24" t="s">
        <v>478</v>
      </c>
      <c r="G394" s="25" t="s">
        <v>165</v>
      </c>
      <c r="H394" s="25" t="s">
        <v>467</v>
      </c>
      <c r="I394" s="25" t="s">
        <v>166</v>
      </c>
      <c r="J394" s="25" t="s">
        <v>80</v>
      </c>
      <c r="K394" s="25" t="s">
        <v>18</v>
      </c>
      <c r="L394" s="25" t="s">
        <v>487</v>
      </c>
      <c r="N394" s="48">
        <f>250*0.23</f>
        <v>57.5</v>
      </c>
      <c r="O394" s="49">
        <f>19.9*239*0.23</f>
        <v>1093.903</v>
      </c>
      <c r="P394" s="50">
        <f>68*0.23</f>
        <v>15.64</v>
      </c>
      <c r="Q394" s="33">
        <v>0.1</v>
      </c>
    </row>
    <row r="395" spans="1:18" x14ac:dyDescent="0.35">
      <c r="N395" s="51"/>
      <c r="O395" s="38"/>
      <c r="P395" s="52"/>
    </row>
    <row r="396" spans="1:18" x14ac:dyDescent="0.35">
      <c r="C396" s="15" t="s">
        <v>84</v>
      </c>
      <c r="E396" s="27" t="s">
        <v>7</v>
      </c>
      <c r="F396" s="27" t="s">
        <v>158</v>
      </c>
      <c r="G396" s="28" t="s">
        <v>151</v>
      </c>
      <c r="H396" s="28" t="s">
        <v>151</v>
      </c>
      <c r="I396" s="28" t="s">
        <v>139</v>
      </c>
      <c r="J396" s="28"/>
      <c r="K396" s="28" t="s">
        <v>479</v>
      </c>
      <c r="L396" s="28" t="s">
        <v>81</v>
      </c>
      <c r="M396" s="28"/>
      <c r="N396" s="53"/>
      <c r="O396" s="54"/>
      <c r="P396" s="55"/>
      <c r="Q396" s="32">
        <v>1</v>
      </c>
      <c r="R396" s="36" t="s">
        <v>117</v>
      </c>
    </row>
    <row r="397" spans="1:18" x14ac:dyDescent="0.35">
      <c r="E397" s="27"/>
      <c r="F397" s="27" t="s">
        <v>159</v>
      </c>
      <c r="G397" s="28" t="s">
        <v>152</v>
      </c>
      <c r="H397" s="28" t="s">
        <v>152</v>
      </c>
      <c r="I397" s="28" t="s">
        <v>140</v>
      </c>
      <c r="J397" s="28"/>
      <c r="K397" s="28" t="s">
        <v>480</v>
      </c>
      <c r="L397" s="28" t="s">
        <v>81</v>
      </c>
      <c r="M397" s="28"/>
      <c r="N397" s="53"/>
      <c r="O397" s="54"/>
      <c r="P397" s="55"/>
      <c r="Q397" s="32">
        <v>0.4</v>
      </c>
      <c r="R397" s="28" t="s">
        <v>469</v>
      </c>
    </row>
    <row r="398" spans="1:18" x14ac:dyDescent="0.35">
      <c r="E398" s="27"/>
      <c r="F398" s="27" t="s">
        <v>160</v>
      </c>
      <c r="G398" s="28" t="s">
        <v>151</v>
      </c>
      <c r="H398" s="28" t="s">
        <v>151</v>
      </c>
      <c r="I398" s="35" t="s">
        <v>553</v>
      </c>
      <c r="J398" s="35"/>
      <c r="K398" s="35"/>
      <c r="L398" s="35"/>
      <c r="M398" s="28"/>
      <c r="N398" s="53"/>
      <c r="O398" s="54"/>
      <c r="P398" s="55"/>
      <c r="Q398" s="32"/>
      <c r="R398" s="28"/>
    </row>
    <row r="399" spans="1:18" x14ac:dyDescent="0.35">
      <c r="N399" s="51"/>
      <c r="O399" s="38"/>
      <c r="P399" s="52"/>
    </row>
    <row r="400" spans="1:18" x14ac:dyDescent="0.35">
      <c r="E400" s="17" t="s">
        <v>5</v>
      </c>
      <c r="F400" s="17" t="s">
        <v>153</v>
      </c>
      <c r="G400" s="9" t="s">
        <v>151</v>
      </c>
      <c r="H400" s="9" t="s">
        <v>491</v>
      </c>
      <c r="I400" s="9" t="s">
        <v>466</v>
      </c>
      <c r="J400" s="9" t="s">
        <v>492</v>
      </c>
      <c r="K400" s="9" t="s">
        <v>493</v>
      </c>
      <c r="L400" s="9" t="s">
        <v>494</v>
      </c>
      <c r="N400" s="45">
        <f>60*0.29</f>
        <v>17.399999999999999</v>
      </c>
      <c r="O400" s="46">
        <f>17.7*239*0.29</f>
        <v>1226.787</v>
      </c>
      <c r="P400" s="47">
        <f>37*0.29</f>
        <v>10.729999999999999</v>
      </c>
      <c r="Q400" s="23">
        <v>1</v>
      </c>
    </row>
    <row r="401" spans="3:18" x14ac:dyDescent="0.35">
      <c r="E401" s="17"/>
      <c r="F401" s="17" t="s">
        <v>156</v>
      </c>
      <c r="G401" s="9" t="s">
        <v>151</v>
      </c>
      <c r="H401" s="9" t="s">
        <v>6</v>
      </c>
      <c r="I401" s="9" t="s">
        <v>190</v>
      </c>
      <c r="J401" s="9" t="s">
        <v>490</v>
      </c>
      <c r="K401" s="9" t="s">
        <v>470</v>
      </c>
      <c r="L401" s="9" t="s">
        <v>495</v>
      </c>
      <c r="N401" s="45">
        <f>45/4.5</f>
        <v>10</v>
      </c>
      <c r="O401" s="46">
        <f>3670/4.5</f>
        <v>815.55555555555554</v>
      </c>
      <c r="P401" s="47">
        <f>1/4.5</f>
        <v>0.22222222222222221</v>
      </c>
      <c r="Q401" s="23">
        <v>1</v>
      </c>
    </row>
    <row r="402" spans="3:18" x14ac:dyDescent="0.35">
      <c r="E402" s="17"/>
      <c r="F402" s="17" t="s">
        <v>157</v>
      </c>
      <c r="G402" s="9" t="s">
        <v>165</v>
      </c>
      <c r="H402" s="9" t="s">
        <v>467</v>
      </c>
      <c r="I402" s="9" t="s">
        <v>166</v>
      </c>
      <c r="J402" s="9" t="s">
        <v>782</v>
      </c>
      <c r="K402" s="9" t="s">
        <v>18</v>
      </c>
      <c r="L402" s="9" t="s">
        <v>468</v>
      </c>
      <c r="N402" s="45">
        <f>165*0.13</f>
        <v>21.45</v>
      </c>
      <c r="O402" s="46">
        <f>18.3*239*0.13</f>
        <v>568.58100000000002</v>
      </c>
      <c r="P402" s="47">
        <f>48*0.13</f>
        <v>6.24</v>
      </c>
      <c r="Q402" s="23">
        <v>0.1</v>
      </c>
    </row>
    <row r="403" spans="3:18" x14ac:dyDescent="0.35">
      <c r="E403" s="17"/>
      <c r="F403" s="17"/>
      <c r="G403" s="9"/>
      <c r="H403" s="9"/>
      <c r="I403" s="9"/>
      <c r="J403" s="9"/>
      <c r="K403" s="9"/>
      <c r="L403" s="9"/>
      <c r="N403" s="51"/>
      <c r="O403" s="38"/>
      <c r="P403" s="52"/>
    </row>
    <row r="404" spans="3:18" x14ac:dyDescent="0.35">
      <c r="E404" s="24" t="s">
        <v>163</v>
      </c>
      <c r="F404" s="24" t="s">
        <v>148</v>
      </c>
      <c r="G404" s="25" t="s">
        <v>152</v>
      </c>
      <c r="H404" s="25" t="s">
        <v>152</v>
      </c>
      <c r="I404" s="25" t="s">
        <v>140</v>
      </c>
      <c r="J404" s="25"/>
      <c r="K404" s="25" t="s">
        <v>496</v>
      </c>
      <c r="L404" s="25" t="s">
        <v>497</v>
      </c>
      <c r="N404" s="51"/>
      <c r="O404" s="38"/>
      <c r="P404" s="52"/>
      <c r="Q404" s="33">
        <v>0.4</v>
      </c>
    </row>
    <row r="405" spans="3:18" x14ac:dyDescent="0.35">
      <c r="E405" s="24"/>
      <c r="F405" s="24" t="s">
        <v>147</v>
      </c>
      <c r="G405" s="25" t="s">
        <v>151</v>
      </c>
      <c r="H405" s="25" t="s">
        <v>151</v>
      </c>
      <c r="I405" s="25" t="s">
        <v>140</v>
      </c>
      <c r="J405" s="25"/>
      <c r="K405" s="25" t="s">
        <v>498</v>
      </c>
      <c r="L405" s="25" t="s">
        <v>499</v>
      </c>
      <c r="N405" s="51"/>
      <c r="O405" s="38"/>
      <c r="P405" s="52"/>
      <c r="Q405" s="33">
        <v>1</v>
      </c>
    </row>
    <row r="406" spans="3:18" x14ac:dyDescent="0.35">
      <c r="E406" s="24"/>
      <c r="F406" s="24" t="s">
        <v>478</v>
      </c>
      <c r="G406" s="25" t="s">
        <v>165</v>
      </c>
      <c r="H406" s="25" t="s">
        <v>467</v>
      </c>
      <c r="I406" s="25" t="s">
        <v>166</v>
      </c>
      <c r="J406" s="25" t="s">
        <v>782</v>
      </c>
      <c r="K406" s="25" t="s">
        <v>18</v>
      </c>
      <c r="L406" s="25" t="s">
        <v>468</v>
      </c>
      <c r="M406" s="25"/>
      <c r="N406" s="48">
        <f>165*0.13</f>
        <v>21.45</v>
      </c>
      <c r="O406" s="49">
        <f>18.3*239*0.13</f>
        <v>568.58100000000002</v>
      </c>
      <c r="P406" s="50">
        <f>48*0.13</f>
        <v>6.24</v>
      </c>
      <c r="Q406" s="33">
        <v>0.1</v>
      </c>
    </row>
    <row r="407" spans="3:18" x14ac:dyDescent="0.35">
      <c r="E407" s="24"/>
      <c r="F407" s="24"/>
      <c r="G407" s="25"/>
      <c r="H407" s="25"/>
      <c r="I407" s="25"/>
      <c r="J407" s="25"/>
      <c r="K407" s="25"/>
      <c r="L407" s="25"/>
      <c r="N407" s="51"/>
      <c r="O407" s="38"/>
      <c r="P407" s="52"/>
      <c r="Q407" s="33"/>
    </row>
    <row r="408" spans="3:18" x14ac:dyDescent="0.35">
      <c r="C408" s="15" t="s">
        <v>85</v>
      </c>
      <c r="E408" s="27" t="s">
        <v>7</v>
      </c>
      <c r="F408" s="27" t="s">
        <v>158</v>
      </c>
      <c r="G408" s="28" t="s">
        <v>151</v>
      </c>
      <c r="H408" s="28" t="s">
        <v>151</v>
      </c>
      <c r="I408" s="28" t="s">
        <v>139</v>
      </c>
      <c r="J408" s="28"/>
      <c r="K408" s="28" t="s">
        <v>514</v>
      </c>
      <c r="L408" s="28" t="s">
        <v>85</v>
      </c>
      <c r="M408" s="28"/>
      <c r="N408" s="53"/>
      <c r="O408" s="54"/>
      <c r="P408" s="55"/>
      <c r="Q408" s="32">
        <v>1</v>
      </c>
      <c r="R408" s="36" t="s">
        <v>117</v>
      </c>
    </row>
    <row r="409" spans="3:18" x14ac:dyDescent="0.35">
      <c r="E409" s="27"/>
      <c r="F409" s="27" t="s">
        <v>159</v>
      </c>
      <c r="G409" s="28" t="s">
        <v>152</v>
      </c>
      <c r="H409" s="28" t="s">
        <v>152</v>
      </c>
      <c r="I409" s="28" t="s">
        <v>140</v>
      </c>
      <c r="J409" s="28"/>
      <c r="K409" s="28" t="s">
        <v>513</v>
      </c>
      <c r="L409" s="28" t="s">
        <v>85</v>
      </c>
      <c r="M409" s="28"/>
      <c r="N409" s="53"/>
      <c r="O409" s="54"/>
      <c r="P409" s="55"/>
      <c r="Q409" s="32">
        <v>0.4</v>
      </c>
      <c r="R409" s="28" t="s">
        <v>469</v>
      </c>
    </row>
    <row r="410" spans="3:18" x14ac:dyDescent="0.35">
      <c r="E410" s="27"/>
      <c r="F410" s="27" t="s">
        <v>160</v>
      </c>
      <c r="G410" s="28" t="s">
        <v>151</v>
      </c>
      <c r="H410" s="28" t="s">
        <v>151</v>
      </c>
      <c r="I410" s="35" t="s">
        <v>553</v>
      </c>
      <c r="J410" s="35"/>
      <c r="K410" s="35"/>
      <c r="L410" s="35"/>
      <c r="M410" s="28"/>
      <c r="N410" s="53"/>
      <c r="O410" s="54"/>
      <c r="P410" s="55"/>
      <c r="Q410" s="32"/>
      <c r="R410" s="28"/>
    </row>
    <row r="411" spans="3:18" x14ac:dyDescent="0.35">
      <c r="N411" s="51"/>
      <c r="O411" s="38"/>
      <c r="P411" s="52"/>
    </row>
    <row r="412" spans="3:18" x14ac:dyDescent="0.35">
      <c r="E412" s="17" t="s">
        <v>5</v>
      </c>
      <c r="F412" s="17" t="s">
        <v>153</v>
      </c>
      <c r="G412" s="9" t="s">
        <v>151</v>
      </c>
      <c r="H412" s="9" t="s">
        <v>491</v>
      </c>
      <c r="I412" s="9" t="s">
        <v>466</v>
      </c>
      <c r="J412" s="9" t="s">
        <v>86</v>
      </c>
      <c r="K412" s="9" t="s">
        <v>505</v>
      </c>
      <c r="L412" s="9" t="s">
        <v>507</v>
      </c>
      <c r="N412" s="45">
        <f>48*0.28</f>
        <v>13.440000000000001</v>
      </c>
      <c r="O412" s="46">
        <f>17.7*239*0.28</f>
        <v>1184.4840000000002</v>
      </c>
      <c r="P412" s="47">
        <f>13*0.28</f>
        <v>3.6400000000000006</v>
      </c>
      <c r="Q412" s="23">
        <v>1</v>
      </c>
    </row>
    <row r="413" spans="3:18" x14ac:dyDescent="0.35">
      <c r="E413" s="17"/>
      <c r="F413" s="17" t="s">
        <v>156</v>
      </c>
      <c r="G413" s="9" t="s">
        <v>151</v>
      </c>
      <c r="H413" s="9" t="s">
        <v>6</v>
      </c>
      <c r="I413" s="9" t="s">
        <v>190</v>
      </c>
      <c r="J413" s="9" t="s">
        <v>490</v>
      </c>
      <c r="K413" s="9" t="s">
        <v>506</v>
      </c>
      <c r="L413" s="9" t="s">
        <v>508</v>
      </c>
      <c r="N413" s="45">
        <f>45/4.5</f>
        <v>10</v>
      </c>
      <c r="O413" s="46">
        <f>3670/4.5</f>
        <v>815.55555555555554</v>
      </c>
      <c r="P413" s="47">
        <f>1/4.5</f>
        <v>0.22222222222222221</v>
      </c>
      <c r="Q413" s="23">
        <v>1</v>
      </c>
    </row>
    <row r="414" spans="3:18" x14ac:dyDescent="0.35">
      <c r="E414" s="17"/>
      <c r="F414" s="17" t="s">
        <v>157</v>
      </c>
      <c r="G414" s="9" t="s">
        <v>165</v>
      </c>
      <c r="H414" s="9" t="s">
        <v>467</v>
      </c>
      <c r="I414" s="9" t="s">
        <v>166</v>
      </c>
      <c r="J414" s="9" t="s">
        <v>80</v>
      </c>
      <c r="K414" s="9" t="s">
        <v>18</v>
      </c>
      <c r="L414" s="9" t="s">
        <v>468</v>
      </c>
      <c r="N414" s="45">
        <f>250*0.23</f>
        <v>57.5</v>
      </c>
      <c r="O414" s="46">
        <f>19.9*239*0.23</f>
        <v>1093.903</v>
      </c>
      <c r="P414" s="47">
        <f>68*0.23</f>
        <v>15.64</v>
      </c>
      <c r="Q414" s="23">
        <v>0.1</v>
      </c>
    </row>
    <row r="415" spans="3:18" x14ac:dyDescent="0.35">
      <c r="E415" s="17"/>
      <c r="F415" s="17"/>
      <c r="G415" s="9"/>
      <c r="H415" s="9"/>
      <c r="I415" s="9"/>
      <c r="J415" s="9"/>
      <c r="K415" s="9"/>
      <c r="L415" s="9"/>
      <c r="N415" s="51"/>
      <c r="O415" s="38"/>
      <c r="P415" s="52"/>
    </row>
    <row r="416" spans="3:18" x14ac:dyDescent="0.35">
      <c r="E416" s="24" t="s">
        <v>163</v>
      </c>
      <c r="F416" s="24" t="s">
        <v>148</v>
      </c>
      <c r="G416" s="25" t="s">
        <v>152</v>
      </c>
      <c r="H416" s="25" t="s">
        <v>152</v>
      </c>
      <c r="I416" s="25" t="s">
        <v>140</v>
      </c>
      <c r="J416" s="25"/>
      <c r="K416" s="25" t="s">
        <v>509</v>
      </c>
      <c r="L416" s="25" t="s">
        <v>511</v>
      </c>
      <c r="N416" s="51"/>
      <c r="O416" s="38"/>
      <c r="P416" s="52"/>
      <c r="Q416" s="33">
        <v>0.4</v>
      </c>
    </row>
    <row r="417" spans="2:18" x14ac:dyDescent="0.35">
      <c r="E417" s="24"/>
      <c r="F417" s="24" t="s">
        <v>147</v>
      </c>
      <c r="G417" s="25" t="s">
        <v>151</v>
      </c>
      <c r="H417" s="25" t="s">
        <v>151</v>
      </c>
      <c r="I417" s="25" t="s">
        <v>140</v>
      </c>
      <c r="J417" s="25"/>
      <c r="K417" s="25" t="s">
        <v>510</v>
      </c>
      <c r="L417" s="25" t="s">
        <v>512</v>
      </c>
      <c r="N417" s="51"/>
      <c r="O417" s="38"/>
      <c r="P417" s="52"/>
      <c r="Q417" s="33">
        <v>1</v>
      </c>
    </row>
    <row r="418" spans="2:18" x14ac:dyDescent="0.35">
      <c r="E418" s="24"/>
      <c r="F418" s="24" t="s">
        <v>478</v>
      </c>
      <c r="G418" s="25" t="s">
        <v>165</v>
      </c>
      <c r="H418" s="25" t="s">
        <v>467</v>
      </c>
      <c r="I418" s="25" t="s">
        <v>166</v>
      </c>
      <c r="J418" s="25" t="s">
        <v>80</v>
      </c>
      <c r="K418" s="25" t="s">
        <v>18</v>
      </c>
      <c r="L418" s="25" t="s">
        <v>468</v>
      </c>
      <c r="N418" s="48">
        <f>250*0.23</f>
        <v>57.5</v>
      </c>
      <c r="O418" s="49">
        <f>19.9*239*0.23</f>
        <v>1093.903</v>
      </c>
      <c r="P418" s="50">
        <f>68*0.23</f>
        <v>15.64</v>
      </c>
      <c r="Q418" s="33">
        <v>0.1</v>
      </c>
    </row>
    <row r="419" spans="2:18" x14ac:dyDescent="0.35">
      <c r="E419" s="24"/>
      <c r="F419" s="24"/>
      <c r="G419" s="25"/>
      <c r="H419" s="25"/>
      <c r="I419" s="25"/>
      <c r="J419" s="25"/>
      <c r="K419" s="25"/>
      <c r="L419" s="25"/>
      <c r="N419" s="51"/>
      <c r="O419" s="38"/>
      <c r="P419" s="52"/>
      <c r="Q419" s="33"/>
    </row>
    <row r="420" spans="2:18" x14ac:dyDescent="0.35">
      <c r="C420" s="15" t="s">
        <v>87</v>
      </c>
      <c r="E420" s="24"/>
      <c r="F420" s="27" t="s">
        <v>158</v>
      </c>
      <c r="G420" s="28" t="s">
        <v>151</v>
      </c>
      <c r="H420" s="28" t="s">
        <v>151</v>
      </c>
      <c r="I420" s="28" t="s">
        <v>139</v>
      </c>
      <c r="J420" s="28"/>
      <c r="K420" s="28" t="s">
        <v>502</v>
      </c>
      <c r="L420" s="28" t="s">
        <v>504</v>
      </c>
      <c r="M420" s="28"/>
      <c r="N420" s="53"/>
      <c r="O420" s="54"/>
      <c r="P420" s="55"/>
      <c r="Q420" s="32">
        <v>1</v>
      </c>
      <c r="R420" s="36" t="s">
        <v>117</v>
      </c>
    </row>
    <row r="421" spans="2:18" x14ac:dyDescent="0.35">
      <c r="E421" s="24"/>
      <c r="F421" s="27" t="s">
        <v>159</v>
      </c>
      <c r="G421" s="28" t="s">
        <v>152</v>
      </c>
      <c r="H421" s="28" t="s">
        <v>152</v>
      </c>
      <c r="I421" s="28" t="s">
        <v>140</v>
      </c>
      <c r="J421" s="28"/>
      <c r="K421" s="28" t="s">
        <v>503</v>
      </c>
      <c r="L421" s="28" t="s">
        <v>504</v>
      </c>
      <c r="M421" s="28"/>
      <c r="N421" s="53"/>
      <c r="O421" s="54"/>
      <c r="P421" s="55"/>
      <c r="Q421" s="32">
        <v>0.4</v>
      </c>
      <c r="R421" s="28" t="s">
        <v>469</v>
      </c>
    </row>
    <row r="422" spans="2:18" x14ac:dyDescent="0.35">
      <c r="E422" s="24"/>
      <c r="F422" s="27" t="s">
        <v>160</v>
      </c>
      <c r="G422" s="28" t="s">
        <v>151</v>
      </c>
      <c r="H422" s="28" t="s">
        <v>151</v>
      </c>
      <c r="I422" s="35" t="s">
        <v>553</v>
      </c>
      <c r="J422" s="35"/>
      <c r="K422" s="35"/>
      <c r="L422" s="35"/>
      <c r="M422" s="28"/>
      <c r="N422" s="53"/>
      <c r="O422" s="54"/>
      <c r="P422" s="55"/>
      <c r="Q422" s="32"/>
      <c r="R422" s="28"/>
    </row>
    <row r="423" spans="2:18" x14ac:dyDescent="0.35">
      <c r="E423" s="24"/>
      <c r="F423" s="24"/>
      <c r="G423" s="25"/>
      <c r="H423" s="25"/>
      <c r="I423" s="25"/>
      <c r="J423" s="25"/>
      <c r="K423" s="25"/>
      <c r="L423" s="25"/>
      <c r="N423" s="51"/>
      <c r="O423" s="38"/>
      <c r="P423" s="52"/>
      <c r="Q423" s="33"/>
    </row>
    <row r="424" spans="2:18" x14ac:dyDescent="0.35">
      <c r="F424" s="17" t="s">
        <v>156</v>
      </c>
      <c r="G424" s="9" t="s">
        <v>151</v>
      </c>
      <c r="H424" s="9" t="s">
        <v>152</v>
      </c>
      <c r="I424" s="9" t="s">
        <v>190</v>
      </c>
      <c r="J424" s="9"/>
      <c r="K424" s="9" t="s">
        <v>500</v>
      </c>
      <c r="L424" s="9" t="s">
        <v>501</v>
      </c>
      <c r="N424" s="51"/>
      <c r="O424" s="38"/>
      <c r="P424" s="52"/>
      <c r="Q424" s="23">
        <v>1</v>
      </c>
    </row>
    <row r="425" spans="2:18" x14ac:dyDescent="0.35">
      <c r="N425" s="51"/>
      <c r="O425" s="38"/>
      <c r="P425" s="52"/>
    </row>
    <row r="426" spans="2:18" x14ac:dyDescent="0.35">
      <c r="B426" s="14" t="s">
        <v>88</v>
      </c>
      <c r="N426" s="51"/>
      <c r="O426" s="38"/>
      <c r="P426" s="52"/>
    </row>
    <row r="427" spans="2:18" x14ac:dyDescent="0.35">
      <c r="C427" s="15" t="s">
        <v>89</v>
      </c>
      <c r="E427" s="27" t="s">
        <v>7</v>
      </c>
      <c r="F427" s="27" t="s">
        <v>158</v>
      </c>
      <c r="G427" s="28" t="s">
        <v>151</v>
      </c>
      <c r="H427" s="28" t="s">
        <v>151</v>
      </c>
      <c r="I427" s="28" t="s">
        <v>139</v>
      </c>
      <c r="J427" s="28"/>
      <c r="K427" s="28" t="s">
        <v>538</v>
      </c>
      <c r="L427" s="28" t="s">
        <v>89</v>
      </c>
      <c r="M427" s="28"/>
      <c r="N427" s="53"/>
      <c r="O427" s="54"/>
      <c r="P427" s="55"/>
      <c r="Q427" s="32">
        <v>0.7</v>
      </c>
      <c r="R427" s="36" t="s">
        <v>700</v>
      </c>
    </row>
    <row r="428" spans="2:18" x14ac:dyDescent="0.35">
      <c r="E428" s="27"/>
      <c r="F428" s="27" t="s">
        <v>159</v>
      </c>
      <c r="G428" s="28" t="s">
        <v>152</v>
      </c>
      <c r="H428" s="28" t="s">
        <v>152</v>
      </c>
      <c r="I428" s="28" t="s">
        <v>530</v>
      </c>
      <c r="J428" s="28"/>
      <c r="K428" s="28" t="s">
        <v>539</v>
      </c>
      <c r="L428" s="28" t="s">
        <v>89</v>
      </c>
      <c r="M428" s="28"/>
      <c r="N428" s="53"/>
      <c r="O428" s="54"/>
      <c r="P428" s="55"/>
      <c r="Q428" s="32">
        <v>0</v>
      </c>
      <c r="R428" s="28"/>
    </row>
    <row r="429" spans="2:18" x14ac:dyDescent="0.35">
      <c r="E429" s="27"/>
      <c r="F429" s="27" t="s">
        <v>160</v>
      </c>
      <c r="G429" s="28" t="s">
        <v>151</v>
      </c>
      <c r="H429" s="28" t="s">
        <v>151</v>
      </c>
      <c r="I429" s="35" t="s">
        <v>553</v>
      </c>
      <c r="J429" s="35"/>
      <c r="K429" s="35"/>
      <c r="L429" s="35"/>
      <c r="M429" s="28"/>
      <c r="N429" s="53"/>
      <c r="O429" s="54"/>
      <c r="P429" s="55"/>
      <c r="Q429" s="32"/>
      <c r="R429" s="28"/>
    </row>
    <row r="430" spans="2:18" x14ac:dyDescent="0.35">
      <c r="N430" s="51"/>
      <c r="O430" s="38"/>
      <c r="P430" s="52"/>
    </row>
    <row r="431" spans="2:18" x14ac:dyDescent="0.35">
      <c r="E431" s="17" t="s">
        <v>5</v>
      </c>
      <c r="F431" s="17" t="s">
        <v>153</v>
      </c>
      <c r="G431" s="9" t="s">
        <v>165</v>
      </c>
      <c r="H431" s="9" t="s">
        <v>6</v>
      </c>
      <c r="I431" s="9" t="s">
        <v>518</v>
      </c>
      <c r="J431" s="9" t="s">
        <v>526</v>
      </c>
      <c r="K431" s="9" t="s">
        <v>524</v>
      </c>
      <c r="L431" s="9" t="s">
        <v>521</v>
      </c>
      <c r="N431" s="51"/>
      <c r="O431" s="38"/>
      <c r="P431" s="52"/>
      <c r="Q431" s="23">
        <v>0.7</v>
      </c>
      <c r="R431" s="10" t="s">
        <v>700</v>
      </c>
    </row>
    <row r="432" spans="2:18" x14ac:dyDescent="0.35">
      <c r="E432" s="17"/>
      <c r="F432" s="17" t="s">
        <v>153</v>
      </c>
      <c r="G432" s="9" t="s">
        <v>165</v>
      </c>
      <c r="H432" s="9" t="s">
        <v>6</v>
      </c>
      <c r="I432" s="9" t="s">
        <v>519</v>
      </c>
      <c r="J432" s="9" t="s">
        <v>520</v>
      </c>
      <c r="K432" s="9" t="s">
        <v>524</v>
      </c>
      <c r="L432" s="9" t="s">
        <v>521</v>
      </c>
      <c r="N432" s="51"/>
      <c r="O432" s="38"/>
      <c r="P432" s="52"/>
      <c r="Q432" s="23">
        <v>0.7</v>
      </c>
      <c r="R432" s="10" t="s">
        <v>700</v>
      </c>
    </row>
    <row r="433" spans="1:18" x14ac:dyDescent="0.35">
      <c r="E433" s="17"/>
      <c r="F433" s="17" t="s">
        <v>156</v>
      </c>
      <c r="G433" s="9" t="s">
        <v>151</v>
      </c>
      <c r="H433" s="9" t="s">
        <v>24</v>
      </c>
      <c r="I433" s="9" t="s">
        <v>190</v>
      </c>
      <c r="J433" s="9" t="s">
        <v>527</v>
      </c>
      <c r="K433" s="9" t="s">
        <v>525</v>
      </c>
      <c r="L433" s="9" t="s">
        <v>522</v>
      </c>
      <c r="N433" s="45">
        <f>78*0.19</f>
        <v>14.82</v>
      </c>
      <c r="O433" s="46">
        <f>16.9*239*0.188</f>
        <v>759.35079999999994</v>
      </c>
      <c r="P433" s="47">
        <f>5*0.188</f>
        <v>0.94</v>
      </c>
      <c r="Q433" s="23">
        <v>0.7</v>
      </c>
      <c r="R433" s="10" t="s">
        <v>700</v>
      </c>
    </row>
    <row r="434" spans="1:18" x14ac:dyDescent="0.35">
      <c r="E434" s="17"/>
      <c r="F434" s="17" t="s">
        <v>157</v>
      </c>
      <c r="G434" s="9" t="s">
        <v>165</v>
      </c>
      <c r="H434" s="9" t="s">
        <v>24</v>
      </c>
      <c r="I434" s="9" t="s">
        <v>166</v>
      </c>
      <c r="J434" s="9" t="s">
        <v>818</v>
      </c>
      <c r="K434" s="9" t="s">
        <v>18</v>
      </c>
      <c r="L434" s="9" t="s">
        <v>523</v>
      </c>
      <c r="N434" s="45">
        <f>116*0.28</f>
        <v>32.480000000000004</v>
      </c>
      <c r="O434" s="46">
        <f>16.1*239*0.28</f>
        <v>1077.4120000000003</v>
      </c>
      <c r="P434" s="47">
        <f>13*0.28</f>
        <v>3.6400000000000006</v>
      </c>
      <c r="Q434" s="23">
        <v>0.1</v>
      </c>
      <c r="R434" s="10" t="s">
        <v>699</v>
      </c>
    </row>
    <row r="435" spans="1:18" x14ac:dyDescent="0.35">
      <c r="A435" s="2"/>
      <c r="E435" s="17"/>
      <c r="F435" s="64" t="s">
        <v>528</v>
      </c>
      <c r="G435" s="65" t="s">
        <v>151</v>
      </c>
      <c r="H435" s="65" t="s">
        <v>537</v>
      </c>
      <c r="I435" s="65"/>
      <c r="J435" s="65"/>
      <c r="K435" s="65" t="s">
        <v>18</v>
      </c>
      <c r="L435" s="65" t="s">
        <v>529</v>
      </c>
      <c r="M435" s="65"/>
      <c r="N435" s="66"/>
      <c r="O435" s="67"/>
      <c r="P435" s="68"/>
      <c r="Q435" s="69">
        <v>0.7</v>
      </c>
      <c r="R435" s="70" t="s">
        <v>700</v>
      </c>
    </row>
    <row r="436" spans="1:18" x14ac:dyDescent="0.35">
      <c r="E436" s="17"/>
      <c r="F436" s="17"/>
      <c r="G436" s="9"/>
      <c r="H436" s="9"/>
      <c r="I436" s="9"/>
      <c r="J436" s="9"/>
      <c r="K436" s="9"/>
      <c r="L436" s="9"/>
      <c r="N436" s="51"/>
      <c r="O436" s="38"/>
      <c r="P436" s="52"/>
    </row>
    <row r="437" spans="1:18" x14ac:dyDescent="0.35">
      <c r="E437" s="24" t="s">
        <v>163</v>
      </c>
      <c r="F437" s="24" t="s">
        <v>148</v>
      </c>
      <c r="G437" s="25" t="s">
        <v>152</v>
      </c>
      <c r="H437" s="25" t="s">
        <v>152</v>
      </c>
      <c r="I437" s="25" t="s">
        <v>533</v>
      </c>
      <c r="J437" s="25"/>
      <c r="K437" s="25" t="s">
        <v>534</v>
      </c>
      <c r="L437" s="25" t="s">
        <v>535</v>
      </c>
      <c r="N437" s="51"/>
      <c r="O437" s="38"/>
      <c r="P437" s="52"/>
      <c r="Q437" s="33">
        <v>0.7</v>
      </c>
      <c r="R437" s="44" t="s">
        <v>700</v>
      </c>
    </row>
    <row r="438" spans="1:18" x14ac:dyDescent="0.35">
      <c r="A438" s="2"/>
      <c r="E438" s="24"/>
      <c r="F438" s="24" t="s">
        <v>702</v>
      </c>
      <c r="G438" s="25" t="s">
        <v>703</v>
      </c>
      <c r="H438" s="25" t="s">
        <v>18</v>
      </c>
      <c r="I438" s="25" t="s">
        <v>704</v>
      </c>
      <c r="J438" s="25"/>
      <c r="K438" s="25" t="s">
        <v>18</v>
      </c>
      <c r="L438" s="25" t="s">
        <v>705</v>
      </c>
      <c r="N438" s="51"/>
      <c r="O438" s="38"/>
      <c r="P438" s="52"/>
      <c r="Q438" s="33">
        <v>0</v>
      </c>
      <c r="R438" s="44"/>
    </row>
    <row r="439" spans="1:18" x14ac:dyDescent="0.35">
      <c r="A439" s="2"/>
      <c r="E439" s="24"/>
      <c r="F439" s="24" t="s">
        <v>824</v>
      </c>
      <c r="G439" s="25" t="s">
        <v>165</v>
      </c>
      <c r="H439" s="25" t="s">
        <v>6</v>
      </c>
      <c r="I439" s="25" t="s">
        <v>518</v>
      </c>
      <c r="J439" s="25" t="s">
        <v>526</v>
      </c>
      <c r="K439" s="25" t="s">
        <v>524</v>
      </c>
      <c r="L439" s="25" t="s">
        <v>827</v>
      </c>
      <c r="N439" s="51"/>
      <c r="O439" s="38"/>
      <c r="P439" s="52"/>
      <c r="Q439" s="33">
        <v>0.7</v>
      </c>
      <c r="R439" s="44" t="s">
        <v>700</v>
      </c>
    </row>
    <row r="440" spans="1:18" x14ac:dyDescent="0.35">
      <c r="E440" s="24"/>
      <c r="F440" s="24" t="s">
        <v>147</v>
      </c>
      <c r="G440" s="25" t="s">
        <v>151</v>
      </c>
      <c r="H440" s="25" t="s">
        <v>151</v>
      </c>
      <c r="I440" s="25" t="s">
        <v>532</v>
      </c>
      <c r="J440" s="25"/>
      <c r="K440" s="25" t="s">
        <v>89</v>
      </c>
      <c r="L440" s="25" t="s">
        <v>536</v>
      </c>
      <c r="N440" s="51"/>
      <c r="O440" s="38"/>
      <c r="P440" s="52"/>
      <c r="Q440" s="33">
        <v>0.7</v>
      </c>
      <c r="R440" s="44" t="s">
        <v>700</v>
      </c>
    </row>
    <row r="441" spans="1:18" x14ac:dyDescent="0.35">
      <c r="E441" s="24"/>
      <c r="F441" s="24" t="s">
        <v>478</v>
      </c>
      <c r="G441" s="25" t="s">
        <v>165</v>
      </c>
      <c r="H441" s="25" t="s">
        <v>467</v>
      </c>
      <c r="I441" s="25" t="s">
        <v>166</v>
      </c>
      <c r="J441" s="25" t="s">
        <v>523</v>
      </c>
      <c r="K441" s="25" t="s">
        <v>18</v>
      </c>
      <c r="L441" s="25" t="s">
        <v>523</v>
      </c>
      <c r="N441" s="48">
        <f>116*0.28</f>
        <v>32.480000000000004</v>
      </c>
      <c r="O441" s="49">
        <f>16.1*239*0.28</f>
        <v>1077.4120000000003</v>
      </c>
      <c r="P441" s="50">
        <f>13*0.28</f>
        <v>3.6400000000000006</v>
      </c>
      <c r="Q441" s="33">
        <v>0.1</v>
      </c>
      <c r="R441" s="44" t="s">
        <v>699</v>
      </c>
    </row>
    <row r="442" spans="1:18" x14ac:dyDescent="0.35">
      <c r="N442" s="51"/>
      <c r="O442" s="38"/>
      <c r="P442" s="52"/>
    </row>
    <row r="443" spans="1:18" x14ac:dyDescent="0.35">
      <c r="C443" s="15" t="s">
        <v>90</v>
      </c>
      <c r="E443" s="27" t="s">
        <v>7</v>
      </c>
      <c r="F443" s="27" t="s">
        <v>158</v>
      </c>
      <c r="G443" s="28" t="s">
        <v>151</v>
      </c>
      <c r="H443" s="28" t="s">
        <v>151</v>
      </c>
      <c r="I443" s="28" t="s">
        <v>139</v>
      </c>
      <c r="J443" s="28"/>
      <c r="K443" s="28" t="s">
        <v>540</v>
      </c>
      <c r="L443" s="28" t="s">
        <v>90</v>
      </c>
      <c r="M443" s="28"/>
      <c r="N443" s="53"/>
      <c r="O443" s="54"/>
      <c r="P443" s="55"/>
      <c r="Q443" s="32">
        <v>0</v>
      </c>
    </row>
    <row r="444" spans="1:18" x14ac:dyDescent="0.35">
      <c r="E444" s="27"/>
      <c r="F444" s="27" t="s">
        <v>159</v>
      </c>
      <c r="G444" s="28" t="s">
        <v>152</v>
      </c>
      <c r="H444" s="28" t="s">
        <v>152</v>
      </c>
      <c r="I444" s="28" t="s">
        <v>530</v>
      </c>
      <c r="J444" s="28"/>
      <c r="K444" s="28" t="s">
        <v>539</v>
      </c>
      <c r="L444" s="28" t="s">
        <v>90</v>
      </c>
      <c r="M444" s="28"/>
      <c r="N444" s="53"/>
      <c r="O444" s="54"/>
      <c r="P444" s="55"/>
      <c r="Q444" s="32">
        <v>0</v>
      </c>
    </row>
    <row r="445" spans="1:18" x14ac:dyDescent="0.35">
      <c r="E445" s="27"/>
      <c r="F445" s="27" t="s">
        <v>160</v>
      </c>
      <c r="G445" s="28" t="s">
        <v>151</v>
      </c>
      <c r="H445" s="28" t="s">
        <v>151</v>
      </c>
      <c r="I445" s="35" t="s">
        <v>553</v>
      </c>
      <c r="J445" s="35"/>
      <c r="K445" s="35"/>
      <c r="L445" s="35"/>
      <c r="M445" s="28"/>
      <c r="N445" s="53"/>
      <c r="O445" s="54"/>
      <c r="P445" s="55"/>
      <c r="Q445" s="32"/>
    </row>
    <row r="446" spans="1:18" x14ac:dyDescent="0.35">
      <c r="N446" s="51"/>
      <c r="O446" s="38"/>
      <c r="P446" s="52"/>
    </row>
    <row r="447" spans="1:18" x14ac:dyDescent="0.35">
      <c r="E447" s="17" t="s">
        <v>5</v>
      </c>
      <c r="F447" s="17" t="s">
        <v>153</v>
      </c>
      <c r="G447" s="9" t="s">
        <v>165</v>
      </c>
      <c r="H447" s="9" t="s">
        <v>24</v>
      </c>
      <c r="I447" s="9" t="s">
        <v>543</v>
      </c>
      <c r="J447" s="9" t="s">
        <v>541</v>
      </c>
      <c r="K447" s="9" t="s">
        <v>544</v>
      </c>
      <c r="L447" s="9" t="s">
        <v>545</v>
      </c>
      <c r="N447" s="45">
        <f>18*0.46</f>
        <v>8.2800000000000011</v>
      </c>
      <c r="O447" s="46">
        <f>18.4*239*0.46</f>
        <v>2022.8959999999997</v>
      </c>
      <c r="P447" s="47">
        <f>6*0.46</f>
        <v>2.7600000000000002</v>
      </c>
      <c r="Q447" s="23">
        <v>0.7</v>
      </c>
      <c r="R447" s="10" t="s">
        <v>700</v>
      </c>
    </row>
    <row r="448" spans="1:18" x14ac:dyDescent="0.35">
      <c r="E448" s="17"/>
      <c r="F448" s="17" t="s">
        <v>153</v>
      </c>
      <c r="G448" s="9" t="s">
        <v>165</v>
      </c>
      <c r="H448" s="9" t="s">
        <v>6</v>
      </c>
      <c r="I448" s="9" t="s">
        <v>519</v>
      </c>
      <c r="J448" s="9" t="s">
        <v>542</v>
      </c>
      <c r="K448" s="9" t="s">
        <v>544</v>
      </c>
      <c r="L448" s="9" t="s">
        <v>545</v>
      </c>
      <c r="N448" s="45">
        <v>42</v>
      </c>
      <c r="O448" s="46">
        <v>2570</v>
      </c>
      <c r="P448" s="47">
        <v>10</v>
      </c>
      <c r="Q448" s="23">
        <v>0.7</v>
      </c>
      <c r="R448" s="10" t="s">
        <v>700</v>
      </c>
    </row>
    <row r="449" spans="1:18" x14ac:dyDescent="0.35">
      <c r="E449" s="17"/>
      <c r="F449" s="17" t="s">
        <v>156</v>
      </c>
      <c r="G449" s="9" t="s">
        <v>151</v>
      </c>
      <c r="H449" s="9" t="s">
        <v>24</v>
      </c>
      <c r="I449" s="9" t="s">
        <v>190</v>
      </c>
      <c r="J449" s="9" t="s">
        <v>819</v>
      </c>
      <c r="K449" s="9" t="s">
        <v>546</v>
      </c>
      <c r="L449" s="9" t="s">
        <v>548</v>
      </c>
      <c r="N449" s="45">
        <f>43*0.23</f>
        <v>9.89</v>
      </c>
      <c r="O449" s="46">
        <f>18.2*239*0.23</f>
        <v>1000.4540000000001</v>
      </c>
      <c r="P449" s="47">
        <f>17*0.23</f>
        <v>3.91</v>
      </c>
      <c r="Q449" s="23">
        <v>0.7</v>
      </c>
      <c r="R449" s="10" t="s">
        <v>700</v>
      </c>
    </row>
    <row r="450" spans="1:18" x14ac:dyDescent="0.35">
      <c r="E450" s="17"/>
      <c r="F450" s="17" t="s">
        <v>157</v>
      </c>
      <c r="G450" s="9" t="s">
        <v>165</v>
      </c>
      <c r="H450" s="9" t="s">
        <v>24</v>
      </c>
      <c r="I450" s="9" t="s">
        <v>166</v>
      </c>
      <c r="J450" s="9" t="s">
        <v>547</v>
      </c>
      <c r="K450" s="9" t="s">
        <v>18</v>
      </c>
      <c r="L450" s="9" t="s">
        <v>549</v>
      </c>
      <c r="N450" s="45">
        <f>49*0.27</f>
        <v>13.23</v>
      </c>
      <c r="O450" s="46">
        <f>18*239*0.27</f>
        <v>1161.54</v>
      </c>
      <c r="P450" s="47">
        <f>15*0.27</f>
        <v>4.0500000000000007</v>
      </c>
      <c r="Q450" s="23">
        <v>0.1</v>
      </c>
      <c r="R450" s="10" t="s">
        <v>699</v>
      </c>
    </row>
    <row r="451" spans="1:18" x14ac:dyDescent="0.35">
      <c r="A451" s="2"/>
      <c r="E451" s="17"/>
      <c r="F451" s="17" t="s">
        <v>528</v>
      </c>
      <c r="G451" s="9" t="s">
        <v>151</v>
      </c>
      <c r="H451" s="9" t="s">
        <v>537</v>
      </c>
      <c r="I451" s="9" t="s">
        <v>783</v>
      </c>
      <c r="J451" s="9"/>
      <c r="K451" s="9" t="s">
        <v>18</v>
      </c>
      <c r="L451" s="9" t="s">
        <v>550</v>
      </c>
      <c r="N451" s="45">
        <f>104*0.26</f>
        <v>27.04</v>
      </c>
      <c r="O451" s="46">
        <f>11.6*239*0.26</f>
        <v>720.82400000000007</v>
      </c>
      <c r="P451" s="47">
        <f>6*0.46</f>
        <v>2.7600000000000002</v>
      </c>
      <c r="Q451" s="23">
        <v>0.7</v>
      </c>
      <c r="R451" s="10" t="s">
        <v>700</v>
      </c>
    </row>
    <row r="452" spans="1:18" x14ac:dyDescent="0.35">
      <c r="E452" s="17"/>
      <c r="F452" s="17"/>
      <c r="G452" s="9"/>
      <c r="H452" s="9"/>
      <c r="I452" s="9"/>
      <c r="J452" s="9"/>
      <c r="K452" s="9"/>
      <c r="L452" s="9"/>
      <c r="N452" s="51"/>
      <c r="O452" s="38"/>
      <c r="P452" s="52"/>
    </row>
    <row r="453" spans="1:18" x14ac:dyDescent="0.35">
      <c r="E453" s="24" t="s">
        <v>163</v>
      </c>
      <c r="F453" s="24" t="s">
        <v>148</v>
      </c>
      <c r="G453" s="25" t="s">
        <v>152</v>
      </c>
      <c r="H453" s="25" t="s">
        <v>152</v>
      </c>
      <c r="I453" s="25" t="s">
        <v>533</v>
      </c>
      <c r="J453" s="25"/>
      <c r="K453" s="25" t="s">
        <v>534</v>
      </c>
      <c r="L453" s="25" t="s">
        <v>551</v>
      </c>
      <c r="N453" s="51"/>
      <c r="O453" s="38"/>
      <c r="P453" s="52"/>
      <c r="Q453" s="33">
        <v>0.7</v>
      </c>
      <c r="R453" s="44" t="s">
        <v>700</v>
      </c>
    </row>
    <row r="454" spans="1:18" x14ac:dyDescent="0.35">
      <c r="A454" s="2"/>
      <c r="E454" s="24"/>
      <c r="F454" s="24" t="s">
        <v>702</v>
      </c>
      <c r="G454" s="25" t="s">
        <v>703</v>
      </c>
      <c r="H454" s="25" t="s">
        <v>18</v>
      </c>
      <c r="I454" s="25" t="s">
        <v>706</v>
      </c>
      <c r="J454" s="25"/>
      <c r="K454" s="25" t="s">
        <v>18</v>
      </c>
      <c r="L454" s="25" t="s">
        <v>707</v>
      </c>
      <c r="N454" s="51"/>
      <c r="O454" s="38"/>
      <c r="P454" s="52"/>
      <c r="Q454" s="33">
        <v>0</v>
      </c>
      <c r="R454" s="44"/>
    </row>
    <row r="455" spans="1:18" x14ac:dyDescent="0.35">
      <c r="A455" s="2"/>
      <c r="E455" s="24"/>
      <c r="F455" s="24" t="s">
        <v>824</v>
      </c>
      <c r="G455" s="25" t="s">
        <v>165</v>
      </c>
      <c r="H455" s="25" t="s">
        <v>6</v>
      </c>
      <c r="I455" s="25" t="s">
        <v>825</v>
      </c>
      <c r="J455" s="25" t="s">
        <v>826</v>
      </c>
      <c r="K455" s="25" t="s">
        <v>544</v>
      </c>
      <c r="L455" s="25" t="s">
        <v>828</v>
      </c>
      <c r="N455" s="51"/>
      <c r="O455" s="38"/>
      <c r="P455" s="52"/>
      <c r="Q455" s="33">
        <v>0.7</v>
      </c>
      <c r="R455" s="44" t="s">
        <v>700</v>
      </c>
    </row>
    <row r="456" spans="1:18" x14ac:dyDescent="0.35">
      <c r="E456" s="24"/>
      <c r="F456" s="24" t="s">
        <v>147</v>
      </c>
      <c r="G456" s="25" t="s">
        <v>151</v>
      </c>
      <c r="H456" s="25" t="s">
        <v>151</v>
      </c>
      <c r="I456" s="25" t="s">
        <v>532</v>
      </c>
      <c r="J456" s="25"/>
      <c r="K456" s="25" t="s">
        <v>89</v>
      </c>
      <c r="L456" s="25" t="s">
        <v>552</v>
      </c>
      <c r="N456" s="51"/>
      <c r="O456" s="38"/>
      <c r="P456" s="52"/>
      <c r="Q456" s="33">
        <v>0.7</v>
      </c>
      <c r="R456" s="44" t="s">
        <v>700</v>
      </c>
    </row>
    <row r="457" spans="1:18" x14ac:dyDescent="0.35">
      <c r="E457" s="24"/>
      <c r="F457" s="24" t="s">
        <v>478</v>
      </c>
      <c r="G457" s="25" t="s">
        <v>165</v>
      </c>
      <c r="H457" s="25" t="s">
        <v>467</v>
      </c>
      <c r="I457" s="25" t="s">
        <v>166</v>
      </c>
      <c r="J457" s="25" t="s">
        <v>547</v>
      </c>
      <c r="K457" s="25" t="s">
        <v>18</v>
      </c>
      <c r="L457" s="25" t="s">
        <v>547</v>
      </c>
      <c r="N457" s="48">
        <f>49*0.27</f>
        <v>13.23</v>
      </c>
      <c r="O457" s="49">
        <f>18*239*0.27</f>
        <v>1161.54</v>
      </c>
      <c r="P457" s="50">
        <f>15*0.27</f>
        <v>4.0500000000000007</v>
      </c>
      <c r="Q457" s="33">
        <v>0.1</v>
      </c>
      <c r="R457" s="44" t="s">
        <v>699</v>
      </c>
    </row>
    <row r="458" spans="1:18" x14ac:dyDescent="0.35">
      <c r="N458" s="51"/>
      <c r="O458" s="38"/>
      <c r="P458" s="52"/>
    </row>
    <row r="459" spans="1:18" x14ac:dyDescent="0.35">
      <c r="C459" s="15" t="s">
        <v>773</v>
      </c>
      <c r="F459" s="18" t="s">
        <v>638</v>
      </c>
      <c r="N459" s="51"/>
      <c r="O459" s="38"/>
      <c r="P459" s="52"/>
    </row>
    <row r="460" spans="1:18" x14ac:dyDescent="0.35">
      <c r="N460" s="51"/>
      <c r="O460" s="38"/>
      <c r="P460" s="52"/>
    </row>
    <row r="461" spans="1:18" x14ac:dyDescent="0.35">
      <c r="C461" s="15" t="s">
        <v>774</v>
      </c>
      <c r="F461" s="18" t="s">
        <v>638</v>
      </c>
      <c r="N461" s="51"/>
      <c r="O461" s="38"/>
      <c r="P461" s="52"/>
    </row>
    <row r="462" spans="1:18" x14ac:dyDescent="0.35">
      <c r="N462" s="51"/>
      <c r="O462" s="38"/>
      <c r="P462" s="52"/>
    </row>
    <row r="463" spans="1:18" x14ac:dyDescent="0.35">
      <c r="N463" s="51"/>
      <c r="O463" s="38"/>
      <c r="P463" s="52"/>
    </row>
    <row r="464" spans="1:18" x14ac:dyDescent="0.35">
      <c r="B464" s="14" t="s">
        <v>91</v>
      </c>
      <c r="E464" s="17"/>
      <c r="F464" s="17"/>
      <c r="G464" s="9"/>
      <c r="H464" s="9"/>
      <c r="I464" s="9"/>
      <c r="J464" s="9"/>
      <c r="K464" s="9"/>
      <c r="L464" s="9"/>
      <c r="M464" s="9"/>
      <c r="N464" s="45"/>
      <c r="O464" s="46"/>
      <c r="P464" s="47"/>
      <c r="Q464" s="23"/>
    </row>
    <row r="465" spans="1:18" x14ac:dyDescent="0.35">
      <c r="C465" s="15" t="s">
        <v>92</v>
      </c>
      <c r="E465" s="27" t="s">
        <v>7</v>
      </c>
      <c r="F465" s="27" t="s">
        <v>158</v>
      </c>
      <c r="G465" s="28" t="s">
        <v>151</v>
      </c>
      <c r="H465" s="28" t="s">
        <v>151</v>
      </c>
      <c r="I465" s="28" t="s">
        <v>139</v>
      </c>
      <c r="J465" s="28"/>
      <c r="K465" s="28" t="s">
        <v>554</v>
      </c>
      <c r="L465" s="28" t="s">
        <v>92</v>
      </c>
      <c r="M465" s="28"/>
      <c r="N465" s="53"/>
      <c r="O465" s="54"/>
      <c r="P465" s="55"/>
      <c r="Q465" s="32">
        <v>0.7</v>
      </c>
      <c r="R465" s="36" t="s">
        <v>700</v>
      </c>
    </row>
    <row r="466" spans="1:18" x14ac:dyDescent="0.35">
      <c r="E466" s="27"/>
      <c r="F466" s="27" t="s">
        <v>159</v>
      </c>
      <c r="G466" s="28" t="s">
        <v>152</v>
      </c>
      <c r="H466" s="28" t="s">
        <v>152</v>
      </c>
      <c r="I466" s="28" t="s">
        <v>140</v>
      </c>
      <c r="J466" s="28"/>
      <c r="K466" s="28" t="s">
        <v>555</v>
      </c>
      <c r="L466" s="28" t="s">
        <v>92</v>
      </c>
      <c r="M466" s="28"/>
      <c r="N466" s="53"/>
      <c r="O466" s="54"/>
      <c r="P466" s="55"/>
      <c r="Q466" s="32">
        <v>0.7</v>
      </c>
      <c r="R466" s="36" t="s">
        <v>700</v>
      </c>
    </row>
    <row r="467" spans="1:18" x14ac:dyDescent="0.35">
      <c r="E467" s="27"/>
      <c r="F467" s="27" t="s">
        <v>160</v>
      </c>
      <c r="G467" s="28" t="s">
        <v>151</v>
      </c>
      <c r="H467" s="28" t="s">
        <v>151</v>
      </c>
      <c r="I467" s="35" t="s">
        <v>553</v>
      </c>
      <c r="J467" s="35"/>
      <c r="K467" s="35"/>
      <c r="L467" s="35"/>
      <c r="M467" s="28"/>
      <c r="N467" s="53"/>
      <c r="O467" s="54"/>
      <c r="P467" s="55"/>
      <c r="Q467" s="32"/>
      <c r="R467" s="28"/>
    </row>
    <row r="468" spans="1:18" x14ac:dyDescent="0.35">
      <c r="N468" s="51"/>
      <c r="O468" s="38"/>
      <c r="P468" s="52"/>
    </row>
    <row r="469" spans="1:18" x14ac:dyDescent="0.35">
      <c r="A469" s="2"/>
      <c r="E469" s="17" t="s">
        <v>5</v>
      </c>
      <c r="F469" s="17" t="s">
        <v>153</v>
      </c>
      <c r="G469" s="9" t="s">
        <v>270</v>
      </c>
      <c r="H469" s="9" t="s">
        <v>491</v>
      </c>
      <c r="I469" s="9" t="s">
        <v>784</v>
      </c>
      <c r="J469" s="9" t="s">
        <v>820</v>
      </c>
      <c r="K469" s="9" t="s">
        <v>18</v>
      </c>
      <c r="L469" s="9" t="s">
        <v>558</v>
      </c>
      <c r="N469" s="45">
        <f>210*0.94</f>
        <v>197.39999999999998</v>
      </c>
      <c r="O469" s="46">
        <f>21.8*239*0.94</f>
        <v>4897.5879999999997</v>
      </c>
      <c r="P469" s="47">
        <f>119*0.94</f>
        <v>111.86</v>
      </c>
      <c r="Q469" s="23">
        <v>0.7</v>
      </c>
      <c r="R469" s="10" t="s">
        <v>700</v>
      </c>
    </row>
    <row r="470" spans="1:18" x14ac:dyDescent="0.35">
      <c r="E470" s="17"/>
      <c r="F470" s="17" t="s">
        <v>156</v>
      </c>
      <c r="G470" s="9" t="s">
        <v>151</v>
      </c>
      <c r="H470" s="9" t="s">
        <v>151</v>
      </c>
      <c r="I470" s="9" t="s">
        <v>190</v>
      </c>
      <c r="J470" s="9" t="s">
        <v>93</v>
      </c>
      <c r="K470" s="9" t="s">
        <v>557</v>
      </c>
      <c r="L470" s="9" t="s">
        <v>559</v>
      </c>
      <c r="N470" s="45"/>
      <c r="O470" s="46"/>
      <c r="P470" s="47"/>
      <c r="Q470" s="23">
        <v>0.7</v>
      </c>
      <c r="R470" s="10" t="s">
        <v>700</v>
      </c>
    </row>
    <row r="471" spans="1:18" x14ac:dyDescent="0.35">
      <c r="E471" s="17"/>
      <c r="F471" s="17"/>
      <c r="G471" s="9"/>
      <c r="H471" s="9"/>
      <c r="I471" s="9"/>
      <c r="J471" s="9"/>
      <c r="K471" s="9"/>
      <c r="L471" s="9"/>
      <c r="N471" s="51"/>
      <c r="O471" s="38"/>
      <c r="P471" s="52"/>
    </row>
    <row r="472" spans="1:18" x14ac:dyDescent="0.35">
      <c r="A472" s="2"/>
      <c r="E472" s="24" t="s">
        <v>163</v>
      </c>
      <c r="F472" s="24" t="s">
        <v>478</v>
      </c>
      <c r="G472" s="25" t="s">
        <v>270</v>
      </c>
      <c r="H472" s="25" t="s">
        <v>491</v>
      </c>
      <c r="I472" s="25" t="s">
        <v>747</v>
      </c>
      <c r="J472" s="25" t="s">
        <v>556</v>
      </c>
      <c r="K472" s="25" t="s">
        <v>18</v>
      </c>
      <c r="L472" s="25" t="s">
        <v>748</v>
      </c>
      <c r="M472" s="25"/>
      <c r="N472" s="48">
        <f>126*0.17</f>
        <v>21.42</v>
      </c>
      <c r="O472" s="49">
        <f>16.7*239*0.17</f>
        <v>678.52099999999996</v>
      </c>
      <c r="P472" s="50">
        <f>19*0.17</f>
        <v>3.2300000000000004</v>
      </c>
      <c r="Q472" s="33">
        <v>0.1</v>
      </c>
      <c r="R472" s="44" t="s">
        <v>699</v>
      </c>
    </row>
    <row r="473" spans="1:18" x14ac:dyDescent="0.35">
      <c r="E473" s="24"/>
      <c r="F473" s="24"/>
      <c r="G473" s="25"/>
      <c r="H473" s="25"/>
      <c r="I473" s="25"/>
      <c r="J473" s="25"/>
      <c r="K473" s="25"/>
      <c r="L473" s="25"/>
      <c r="N473" s="51"/>
      <c r="O473" s="38"/>
      <c r="P473" s="52"/>
      <c r="Q473" s="33"/>
    </row>
    <row r="474" spans="1:18" x14ac:dyDescent="0.35">
      <c r="C474" s="15" t="s">
        <v>650</v>
      </c>
      <c r="D474" s="15" t="s">
        <v>587</v>
      </c>
      <c r="E474" s="27" t="s">
        <v>7</v>
      </c>
      <c r="F474" s="27" t="s">
        <v>158</v>
      </c>
      <c r="G474" s="28" t="s">
        <v>151</v>
      </c>
      <c r="H474" s="28" t="s">
        <v>151</v>
      </c>
      <c r="I474" s="28" t="s">
        <v>139</v>
      </c>
      <c r="J474" s="28"/>
      <c r="K474" s="28" t="s">
        <v>636</v>
      </c>
      <c r="L474" s="28" t="s">
        <v>116</v>
      </c>
      <c r="M474" s="28"/>
      <c r="N474" s="51"/>
      <c r="O474" s="38"/>
      <c r="P474" s="52"/>
      <c r="Q474" s="32">
        <v>0.65</v>
      </c>
      <c r="R474" s="28" t="s">
        <v>694</v>
      </c>
    </row>
    <row r="475" spans="1:18" x14ac:dyDescent="0.35">
      <c r="C475" s="14"/>
      <c r="D475" s="15" t="s">
        <v>572</v>
      </c>
      <c r="E475" s="27"/>
      <c r="F475" s="27" t="s">
        <v>159</v>
      </c>
      <c r="G475" s="28" t="s">
        <v>151</v>
      </c>
      <c r="H475" s="28" t="s">
        <v>619</v>
      </c>
      <c r="I475" s="28" t="s">
        <v>618</v>
      </c>
      <c r="J475" s="28"/>
      <c r="K475" s="28" t="s">
        <v>636</v>
      </c>
      <c r="L475" s="28" t="s">
        <v>116</v>
      </c>
      <c r="M475" s="28"/>
      <c r="N475" s="51"/>
      <c r="O475" s="38"/>
      <c r="P475" s="52"/>
      <c r="Q475" s="32">
        <v>0.65</v>
      </c>
      <c r="R475" s="28" t="s">
        <v>694</v>
      </c>
    </row>
    <row r="476" spans="1:18" x14ac:dyDescent="0.35">
      <c r="C476" s="14"/>
      <c r="D476" s="15" t="s">
        <v>573</v>
      </c>
      <c r="E476" s="27"/>
      <c r="F476" s="27"/>
      <c r="G476" s="28"/>
      <c r="H476" s="9"/>
      <c r="I476" s="9"/>
      <c r="J476" s="9"/>
      <c r="K476" s="9"/>
      <c r="L476" s="9"/>
      <c r="M476" s="28"/>
      <c r="N476" s="51"/>
      <c r="O476" s="38"/>
      <c r="P476" s="52"/>
    </row>
    <row r="477" spans="1:18" x14ac:dyDescent="0.35">
      <c r="C477" s="14"/>
      <c r="D477" s="15" t="s">
        <v>574</v>
      </c>
      <c r="E477" s="17" t="s">
        <v>5</v>
      </c>
      <c r="F477" s="17" t="s">
        <v>156</v>
      </c>
      <c r="G477" s="9" t="s">
        <v>151</v>
      </c>
      <c r="H477" s="9" t="s">
        <v>619</v>
      </c>
      <c r="I477" s="9" t="s">
        <v>190</v>
      </c>
      <c r="J477" s="9"/>
      <c r="K477" s="9" t="s">
        <v>561</v>
      </c>
      <c r="L477" s="9" t="s">
        <v>560</v>
      </c>
      <c r="N477" s="51"/>
      <c r="O477" s="38"/>
      <c r="P477" s="52"/>
      <c r="Q477" s="23">
        <v>0.65</v>
      </c>
      <c r="R477" s="9" t="s">
        <v>695</v>
      </c>
    </row>
    <row r="478" spans="1:18" x14ac:dyDescent="0.35">
      <c r="C478" s="14"/>
      <c r="D478" s="15" t="s">
        <v>564</v>
      </c>
      <c r="E478" s="15"/>
      <c r="F478" s="17"/>
      <c r="G478" s="9"/>
      <c r="H478" s="9"/>
      <c r="I478" s="9"/>
      <c r="J478" s="9"/>
      <c r="K478" s="9"/>
      <c r="L478" s="9"/>
      <c r="M478" s="9"/>
      <c r="N478" s="45"/>
      <c r="O478" s="46"/>
      <c r="P478" s="47"/>
      <c r="Q478" s="23"/>
      <c r="R478" s="9"/>
    </row>
    <row r="479" spans="1:18" x14ac:dyDescent="0.35">
      <c r="C479" s="14"/>
      <c r="E479" s="24" t="s">
        <v>163</v>
      </c>
      <c r="F479" s="24" t="s">
        <v>685</v>
      </c>
      <c r="G479" s="25" t="s">
        <v>151</v>
      </c>
      <c r="H479" s="25" t="s">
        <v>619</v>
      </c>
      <c r="I479" s="25" t="s">
        <v>532</v>
      </c>
      <c r="J479" s="9"/>
      <c r="K479" s="25" t="s">
        <v>678</v>
      </c>
      <c r="L479" s="25" t="s">
        <v>637</v>
      </c>
      <c r="M479" s="9"/>
      <c r="N479" s="45"/>
      <c r="O479" s="46"/>
      <c r="P479" s="47"/>
      <c r="Q479" s="26">
        <v>0.65</v>
      </c>
      <c r="R479" s="25" t="s">
        <v>694</v>
      </c>
    </row>
    <row r="480" spans="1:18" x14ac:dyDescent="0.35">
      <c r="C480" s="14"/>
      <c r="E480" s="27"/>
      <c r="F480" s="27"/>
      <c r="G480" s="28"/>
      <c r="H480" s="28"/>
      <c r="I480" s="28"/>
      <c r="J480" s="28"/>
      <c r="K480" s="28"/>
      <c r="L480" s="28"/>
      <c r="M480" s="28"/>
      <c r="N480" s="53"/>
      <c r="O480" s="54"/>
      <c r="P480" s="55"/>
      <c r="Q480" s="32"/>
      <c r="R480" s="36"/>
    </row>
    <row r="481" spans="3:18" x14ac:dyDescent="0.35">
      <c r="C481" s="15" t="s">
        <v>630</v>
      </c>
      <c r="D481" s="15" t="s">
        <v>562</v>
      </c>
      <c r="E481" s="27"/>
      <c r="F481" s="18" t="s">
        <v>638</v>
      </c>
      <c r="G481" s="28"/>
      <c r="H481" s="28"/>
      <c r="I481" s="28"/>
      <c r="J481" s="28"/>
      <c r="K481" s="28"/>
      <c r="L481" s="28"/>
      <c r="M481" s="28"/>
      <c r="N481" s="53"/>
      <c r="O481" s="54"/>
      <c r="P481" s="55"/>
      <c r="Q481" s="32">
        <v>0.65</v>
      </c>
      <c r="R481" s="28" t="s">
        <v>694</v>
      </c>
    </row>
    <row r="482" spans="3:18" x14ac:dyDescent="0.35">
      <c r="D482" s="15" t="s">
        <v>586</v>
      </c>
      <c r="E482" s="27"/>
      <c r="F482" s="27"/>
      <c r="G482" s="28"/>
      <c r="H482" s="28"/>
      <c r="I482" s="28"/>
      <c r="J482" s="28"/>
      <c r="K482" s="28"/>
      <c r="L482" s="28"/>
      <c r="M482" s="28"/>
      <c r="N482" s="53"/>
      <c r="O482" s="54"/>
      <c r="P482" s="55"/>
      <c r="Q482" s="32">
        <v>0.65</v>
      </c>
      <c r="R482" s="28" t="s">
        <v>694</v>
      </c>
    </row>
    <row r="483" spans="3:18" x14ac:dyDescent="0.35">
      <c r="D483" s="15" t="s">
        <v>567</v>
      </c>
      <c r="N483" s="51"/>
      <c r="O483" s="38"/>
      <c r="P483" s="52"/>
      <c r="Q483" s="32">
        <v>0.65</v>
      </c>
      <c r="R483" s="28" t="s">
        <v>694</v>
      </c>
    </row>
    <row r="484" spans="3:18" x14ac:dyDescent="0.35">
      <c r="E484" s="17"/>
      <c r="F484" s="17"/>
      <c r="G484" s="9"/>
      <c r="H484" s="9"/>
      <c r="I484" s="9"/>
      <c r="J484" s="9"/>
      <c r="K484" s="9"/>
      <c r="L484" s="9"/>
      <c r="N484" s="51"/>
      <c r="O484" s="38"/>
      <c r="P484" s="52"/>
      <c r="Q484" s="23"/>
    </row>
    <row r="485" spans="3:18" x14ac:dyDescent="0.35">
      <c r="C485" s="15" t="s">
        <v>631</v>
      </c>
      <c r="D485" s="15" t="s">
        <v>568</v>
      </c>
      <c r="E485" s="17"/>
      <c r="F485" s="18" t="s">
        <v>638</v>
      </c>
      <c r="G485" s="9"/>
      <c r="H485" s="9"/>
      <c r="I485" s="9"/>
      <c r="J485" s="9"/>
      <c r="K485" s="9"/>
      <c r="L485" s="9"/>
      <c r="N485" s="51"/>
      <c r="O485" s="38"/>
      <c r="P485" s="52"/>
      <c r="Q485" s="32">
        <v>0.65</v>
      </c>
      <c r="R485" s="28" t="s">
        <v>694</v>
      </c>
    </row>
    <row r="486" spans="3:18" x14ac:dyDescent="0.35">
      <c r="C486" s="14"/>
      <c r="D486" s="15" t="s">
        <v>569</v>
      </c>
      <c r="E486" s="17"/>
      <c r="G486" s="9"/>
      <c r="H486" s="9"/>
      <c r="I486" s="9"/>
      <c r="J486" s="9"/>
      <c r="K486" s="9"/>
      <c r="L486" s="9"/>
      <c r="N486" s="51"/>
      <c r="O486" s="38"/>
      <c r="P486" s="52"/>
      <c r="Q486" s="32">
        <v>0.65</v>
      </c>
      <c r="R486" s="28" t="s">
        <v>694</v>
      </c>
    </row>
    <row r="487" spans="3:18" x14ac:dyDescent="0.35">
      <c r="D487" s="15" t="s">
        <v>628</v>
      </c>
      <c r="E487" s="17"/>
      <c r="G487" s="9"/>
      <c r="H487" s="9"/>
      <c r="I487" s="9"/>
      <c r="J487" s="9"/>
      <c r="K487" s="9"/>
      <c r="L487" s="9"/>
      <c r="N487" s="51"/>
      <c r="O487" s="38"/>
      <c r="P487" s="52"/>
      <c r="Q487" s="32">
        <v>0.65</v>
      </c>
      <c r="R487" s="28" t="s">
        <v>694</v>
      </c>
    </row>
    <row r="488" spans="3:18" x14ac:dyDescent="0.35">
      <c r="D488" s="15" t="s">
        <v>563</v>
      </c>
      <c r="E488" s="17"/>
      <c r="F488" s="15"/>
      <c r="G488" s="9"/>
      <c r="H488" s="9"/>
      <c r="I488" s="9"/>
      <c r="J488" s="9"/>
      <c r="K488" s="9"/>
      <c r="L488" s="9"/>
      <c r="N488" s="51"/>
      <c r="O488" s="38"/>
      <c r="P488" s="52"/>
      <c r="Q488" s="32">
        <v>0.65</v>
      </c>
      <c r="R488" s="28" t="s">
        <v>694</v>
      </c>
    </row>
    <row r="489" spans="3:18" x14ac:dyDescent="0.35">
      <c r="D489" s="15" t="s">
        <v>582</v>
      </c>
      <c r="E489" s="17"/>
      <c r="F489" s="15"/>
      <c r="G489" s="9"/>
      <c r="H489" s="9"/>
      <c r="I489" s="9"/>
      <c r="J489" s="9"/>
      <c r="K489" s="9"/>
      <c r="L489" s="9"/>
      <c r="N489" s="51"/>
      <c r="O489" s="38"/>
      <c r="P489" s="52"/>
      <c r="Q489" s="32">
        <v>0.65</v>
      </c>
      <c r="R489" s="28" t="s">
        <v>694</v>
      </c>
    </row>
    <row r="490" spans="3:18" x14ac:dyDescent="0.35">
      <c r="E490" s="17"/>
      <c r="F490" s="15"/>
      <c r="G490" s="9"/>
      <c r="H490" s="9"/>
      <c r="I490" s="9"/>
      <c r="J490" s="9"/>
      <c r="K490" s="9"/>
      <c r="L490" s="9"/>
      <c r="N490" s="51"/>
      <c r="O490" s="38"/>
      <c r="P490" s="52"/>
      <c r="Q490" s="23"/>
    </row>
    <row r="491" spans="3:18" x14ac:dyDescent="0.35">
      <c r="C491" s="15" t="s">
        <v>629</v>
      </c>
      <c r="D491" s="15" t="s">
        <v>580</v>
      </c>
      <c r="E491" s="17"/>
      <c r="F491" s="18" t="s">
        <v>638</v>
      </c>
      <c r="G491" s="9"/>
      <c r="H491" s="9"/>
      <c r="I491" s="9"/>
      <c r="J491" s="9"/>
      <c r="K491" s="9"/>
      <c r="L491" s="9"/>
      <c r="N491" s="51"/>
      <c r="O491" s="38"/>
      <c r="P491" s="52"/>
      <c r="Q491" s="32">
        <v>0.42</v>
      </c>
      <c r="R491" s="28" t="s">
        <v>696</v>
      </c>
    </row>
    <row r="492" spans="3:18" x14ac:dyDescent="0.35">
      <c r="D492" s="15" t="s">
        <v>579</v>
      </c>
      <c r="E492" s="17"/>
      <c r="F492" s="15"/>
      <c r="G492" s="9"/>
      <c r="H492" s="9"/>
      <c r="I492" s="9"/>
      <c r="J492" s="9"/>
      <c r="K492" s="9"/>
      <c r="L492" s="9"/>
      <c r="N492" s="51"/>
      <c r="O492" s="38"/>
      <c r="P492" s="52"/>
      <c r="Q492" s="32">
        <v>0.65</v>
      </c>
      <c r="R492" s="28" t="s">
        <v>694</v>
      </c>
    </row>
    <row r="493" spans="3:18" x14ac:dyDescent="0.35">
      <c r="D493" s="15" t="s">
        <v>565</v>
      </c>
      <c r="E493" s="17"/>
      <c r="F493" s="15"/>
      <c r="G493" s="9"/>
      <c r="H493" s="9"/>
      <c r="I493" s="9"/>
      <c r="J493" s="9"/>
      <c r="K493" s="9"/>
      <c r="L493" s="9"/>
      <c r="N493" s="51"/>
      <c r="O493" s="38"/>
      <c r="P493" s="52"/>
      <c r="Q493" s="32">
        <v>0.65</v>
      </c>
      <c r="R493" s="28" t="s">
        <v>694</v>
      </c>
    </row>
    <row r="494" spans="3:18" x14ac:dyDescent="0.35">
      <c r="D494" s="15" t="s">
        <v>571</v>
      </c>
      <c r="E494" s="17"/>
      <c r="G494" s="9"/>
      <c r="H494" s="9"/>
      <c r="I494" s="9"/>
      <c r="J494" s="9"/>
      <c r="K494" s="9"/>
      <c r="L494" s="9"/>
      <c r="N494" s="51"/>
      <c r="O494" s="38"/>
      <c r="P494" s="52"/>
      <c r="Q494" s="32">
        <v>0.65</v>
      </c>
      <c r="R494" s="28" t="s">
        <v>694</v>
      </c>
    </row>
    <row r="495" spans="3:18" x14ac:dyDescent="0.35">
      <c r="D495" s="15" t="s">
        <v>570</v>
      </c>
      <c r="E495" s="17"/>
      <c r="F495" s="15"/>
      <c r="G495" s="9"/>
      <c r="H495" s="9"/>
      <c r="I495" s="9"/>
      <c r="J495" s="9"/>
      <c r="K495" s="9"/>
      <c r="L495" s="9"/>
      <c r="N495" s="51"/>
      <c r="O495" s="38"/>
      <c r="P495" s="52"/>
      <c r="Q495" s="32">
        <v>0.65</v>
      </c>
      <c r="R495" s="28" t="s">
        <v>694</v>
      </c>
    </row>
    <row r="496" spans="3:18" x14ac:dyDescent="0.35">
      <c r="D496" s="15" t="s">
        <v>581</v>
      </c>
      <c r="E496" s="17"/>
      <c r="G496" s="9"/>
      <c r="H496" s="9"/>
      <c r="I496" s="9"/>
      <c r="J496" s="9"/>
      <c r="K496" s="9"/>
      <c r="L496" s="9"/>
      <c r="N496" s="51"/>
      <c r="O496" s="38"/>
      <c r="P496" s="52"/>
      <c r="Q496" s="32">
        <v>0.65</v>
      </c>
      <c r="R496" s="28" t="s">
        <v>694</v>
      </c>
    </row>
    <row r="497" spans="2:18" x14ac:dyDescent="0.35">
      <c r="D497" s="15" t="s">
        <v>566</v>
      </c>
      <c r="E497" s="17"/>
      <c r="F497" s="15"/>
      <c r="G497" s="9"/>
      <c r="H497" s="9"/>
      <c r="I497" s="9"/>
      <c r="J497" s="9"/>
      <c r="K497" s="9"/>
      <c r="L497" s="9"/>
      <c r="N497" s="51"/>
      <c r="O497" s="38"/>
      <c r="P497" s="52"/>
      <c r="Q497" s="32">
        <v>0.65</v>
      </c>
      <c r="R497" s="28" t="s">
        <v>694</v>
      </c>
    </row>
    <row r="498" spans="2:18" x14ac:dyDescent="0.35">
      <c r="D498" s="15" t="s">
        <v>577</v>
      </c>
      <c r="E498" s="17"/>
      <c r="G498" s="9"/>
      <c r="H498" s="9"/>
      <c r="I498" s="9"/>
      <c r="J498" s="9"/>
      <c r="K498" s="9"/>
      <c r="L498" s="9"/>
      <c r="N498" s="51"/>
      <c r="O498" s="38"/>
      <c r="P498" s="52"/>
      <c r="Q498" s="32">
        <v>0.65</v>
      </c>
      <c r="R498" s="28" t="s">
        <v>694</v>
      </c>
    </row>
    <row r="499" spans="2:18" x14ac:dyDescent="0.35">
      <c r="E499" s="17"/>
      <c r="G499" s="9"/>
      <c r="H499" s="9"/>
      <c r="I499" s="9"/>
      <c r="J499" s="9"/>
      <c r="K499" s="9"/>
      <c r="L499" s="9"/>
      <c r="N499" s="51"/>
      <c r="O499" s="38"/>
      <c r="P499" s="52"/>
      <c r="Q499" s="23"/>
    </row>
    <row r="500" spans="2:18" x14ac:dyDescent="0.35">
      <c r="B500" s="14" t="s">
        <v>651</v>
      </c>
      <c r="G500" s="9"/>
      <c r="H500" s="9"/>
      <c r="I500" s="9"/>
      <c r="J500" s="9"/>
      <c r="K500" s="9"/>
      <c r="L500" s="9"/>
      <c r="N500" s="51"/>
      <c r="O500" s="38"/>
      <c r="P500" s="52"/>
      <c r="Q500" s="23"/>
    </row>
    <row r="501" spans="2:18" x14ac:dyDescent="0.35">
      <c r="B501" s="15"/>
      <c r="C501" s="15" t="s">
        <v>118</v>
      </c>
      <c r="D501" s="15" t="s">
        <v>588</v>
      </c>
      <c r="F501" s="18" t="s">
        <v>638</v>
      </c>
      <c r="G501" s="9"/>
      <c r="H501" s="9"/>
      <c r="I501" s="9"/>
      <c r="J501" s="9"/>
      <c r="K501" s="9"/>
      <c r="L501" s="9"/>
      <c r="N501" s="51"/>
      <c r="O501" s="38"/>
      <c r="P501" s="52"/>
      <c r="Q501" s="32">
        <v>0.65</v>
      </c>
      <c r="R501" s="28" t="s">
        <v>694</v>
      </c>
    </row>
    <row r="502" spans="2:18" x14ac:dyDescent="0.35">
      <c r="B502" s="15"/>
      <c r="D502" s="15" t="s">
        <v>575</v>
      </c>
      <c r="G502" s="9"/>
      <c r="H502" s="9"/>
      <c r="I502" s="9"/>
      <c r="J502" s="9"/>
      <c r="K502" s="9"/>
      <c r="L502" s="9"/>
      <c r="N502" s="51"/>
      <c r="O502" s="38"/>
      <c r="P502" s="52"/>
      <c r="Q502" s="32">
        <v>0.65</v>
      </c>
      <c r="R502" s="28" t="s">
        <v>694</v>
      </c>
    </row>
    <row r="503" spans="2:18" x14ac:dyDescent="0.35">
      <c r="B503" s="15"/>
      <c r="D503" s="15" t="s">
        <v>578</v>
      </c>
      <c r="G503" s="9"/>
      <c r="H503" s="9"/>
      <c r="I503" s="9"/>
      <c r="J503" s="9"/>
      <c r="K503" s="9"/>
      <c r="L503" s="9"/>
      <c r="N503" s="51"/>
      <c r="O503" s="38"/>
      <c r="P503" s="52"/>
      <c r="Q503" s="32">
        <v>0.65</v>
      </c>
      <c r="R503" s="28" t="s">
        <v>694</v>
      </c>
    </row>
    <row r="504" spans="2:18" x14ac:dyDescent="0.35">
      <c r="B504" s="15"/>
      <c r="D504" s="15" t="s">
        <v>641</v>
      </c>
      <c r="G504" s="9"/>
      <c r="H504" s="9"/>
      <c r="I504" s="9"/>
      <c r="J504" s="9"/>
      <c r="K504" s="9"/>
      <c r="L504" s="9"/>
      <c r="N504" s="51"/>
      <c r="O504" s="38"/>
      <c r="P504" s="52"/>
      <c r="Q504" s="32">
        <v>0.65</v>
      </c>
      <c r="R504" s="28" t="s">
        <v>694</v>
      </c>
    </row>
    <row r="505" spans="2:18" x14ac:dyDescent="0.35">
      <c r="B505" s="15"/>
      <c r="D505" s="15" t="s">
        <v>646</v>
      </c>
      <c r="G505" s="9"/>
      <c r="H505" s="9"/>
      <c r="I505" s="9"/>
      <c r="J505" s="9"/>
      <c r="K505" s="9"/>
      <c r="L505" s="9"/>
      <c r="N505" s="51"/>
      <c r="O505" s="38"/>
      <c r="P505" s="52"/>
      <c r="Q505" s="32">
        <v>0.65</v>
      </c>
      <c r="R505" s="28" t="s">
        <v>694</v>
      </c>
    </row>
    <row r="506" spans="2:18" x14ac:dyDescent="0.35">
      <c r="B506" s="15"/>
      <c r="G506" s="9"/>
      <c r="H506" s="9"/>
      <c r="I506" s="9"/>
      <c r="J506" s="9"/>
      <c r="K506" s="9"/>
      <c r="L506" s="9"/>
      <c r="N506" s="51"/>
      <c r="O506" s="38"/>
      <c r="P506" s="52"/>
      <c r="Q506" s="23"/>
    </row>
    <row r="507" spans="2:18" x14ac:dyDescent="0.35">
      <c r="B507" s="15"/>
      <c r="C507" s="15" t="s">
        <v>119</v>
      </c>
      <c r="D507" s="15" t="s">
        <v>589</v>
      </c>
      <c r="F507" s="18" t="s">
        <v>638</v>
      </c>
      <c r="G507" s="9"/>
      <c r="H507" s="9"/>
      <c r="I507" s="9"/>
      <c r="J507" s="9"/>
      <c r="K507" s="9"/>
      <c r="L507" s="9"/>
      <c r="N507" s="51"/>
      <c r="O507" s="38"/>
      <c r="P507" s="52"/>
      <c r="Q507" s="32">
        <v>0.65</v>
      </c>
      <c r="R507" s="28" t="s">
        <v>694</v>
      </c>
    </row>
    <row r="508" spans="2:18" x14ac:dyDescent="0.35">
      <c r="B508" s="15"/>
      <c r="D508" s="15" t="s">
        <v>576</v>
      </c>
      <c r="G508" s="9"/>
      <c r="H508" s="9"/>
      <c r="I508" s="9"/>
      <c r="J508" s="9"/>
      <c r="K508" s="9"/>
      <c r="L508" s="9"/>
      <c r="N508" s="51"/>
      <c r="O508" s="38"/>
      <c r="P508" s="52"/>
      <c r="Q508" s="32">
        <v>0.65</v>
      </c>
      <c r="R508" s="28" t="s">
        <v>694</v>
      </c>
    </row>
    <row r="509" spans="2:18" x14ac:dyDescent="0.35">
      <c r="B509" s="15"/>
      <c r="D509" s="15" t="s">
        <v>583</v>
      </c>
      <c r="G509" s="9"/>
      <c r="H509" s="9"/>
      <c r="I509" s="9"/>
      <c r="J509" s="9"/>
      <c r="K509" s="9"/>
      <c r="L509" s="9"/>
      <c r="N509" s="51"/>
      <c r="O509" s="38"/>
      <c r="P509" s="52"/>
      <c r="Q509" s="32">
        <v>0.65</v>
      </c>
      <c r="R509" s="28" t="s">
        <v>694</v>
      </c>
    </row>
    <row r="510" spans="2:18" x14ac:dyDescent="0.35">
      <c r="B510" s="15"/>
      <c r="D510" s="15" t="s">
        <v>642</v>
      </c>
      <c r="G510" s="9"/>
      <c r="H510" s="9"/>
      <c r="I510" s="9"/>
      <c r="J510" s="9"/>
      <c r="K510" s="9"/>
      <c r="L510" s="9"/>
      <c r="N510" s="51"/>
      <c r="O510" s="38"/>
      <c r="P510" s="52"/>
      <c r="Q510" s="32">
        <v>0.83</v>
      </c>
      <c r="R510" s="28" t="s">
        <v>697</v>
      </c>
    </row>
    <row r="511" spans="2:18" x14ac:dyDescent="0.35">
      <c r="B511" s="15"/>
      <c r="D511" s="15" t="s">
        <v>643</v>
      </c>
      <c r="G511" s="9"/>
      <c r="H511" s="9"/>
      <c r="I511" s="9"/>
      <c r="J511" s="9"/>
      <c r="K511" s="9"/>
      <c r="L511" s="9"/>
      <c r="N511" s="51"/>
      <c r="O511" s="38"/>
      <c r="P511" s="52"/>
      <c r="Q511" s="32">
        <v>0.65</v>
      </c>
      <c r="R511" s="28" t="s">
        <v>694</v>
      </c>
    </row>
    <row r="512" spans="2:18" x14ac:dyDescent="0.35">
      <c r="B512" s="15"/>
      <c r="D512" s="15" t="s">
        <v>644</v>
      </c>
      <c r="G512" s="9"/>
      <c r="H512" s="9"/>
      <c r="I512" s="9"/>
      <c r="J512" s="9"/>
      <c r="K512" s="9"/>
      <c r="L512" s="9"/>
      <c r="N512" s="51"/>
      <c r="O512" s="38"/>
      <c r="P512" s="52"/>
      <c r="Q512" s="32">
        <v>0.65</v>
      </c>
      <c r="R512" s="28" t="s">
        <v>694</v>
      </c>
    </row>
    <row r="513" spans="2:18" x14ac:dyDescent="0.35">
      <c r="B513" s="15"/>
      <c r="D513" s="15" t="s">
        <v>645</v>
      </c>
      <c r="G513" s="9"/>
      <c r="H513" s="9"/>
      <c r="I513" s="9"/>
      <c r="J513" s="9"/>
      <c r="K513" s="9"/>
      <c r="L513" s="9"/>
      <c r="N513" s="51"/>
      <c r="O513" s="38"/>
      <c r="P513" s="52"/>
      <c r="Q513" s="32">
        <v>0.65</v>
      </c>
      <c r="R513" s="28" t="s">
        <v>694</v>
      </c>
    </row>
    <row r="514" spans="2:18" x14ac:dyDescent="0.35">
      <c r="B514" s="15"/>
      <c r="D514" s="15" t="s">
        <v>647</v>
      </c>
      <c r="G514" s="9"/>
      <c r="H514" s="9"/>
      <c r="I514" s="9"/>
      <c r="J514" s="9"/>
      <c r="K514" s="9"/>
      <c r="L514" s="9"/>
      <c r="N514" s="51"/>
      <c r="O514" s="38"/>
      <c r="P514" s="52"/>
      <c r="Q514" s="32">
        <v>0.65</v>
      </c>
      <c r="R514" s="28" t="s">
        <v>694</v>
      </c>
    </row>
    <row r="515" spans="2:18" x14ac:dyDescent="0.35">
      <c r="D515" s="15" t="s">
        <v>648</v>
      </c>
      <c r="E515" s="17"/>
      <c r="G515" s="9"/>
      <c r="H515" s="9"/>
      <c r="I515" s="9"/>
      <c r="J515" s="9"/>
      <c r="K515" s="9"/>
      <c r="L515" s="9"/>
      <c r="N515" s="51"/>
      <c r="O515" s="38"/>
      <c r="P515" s="52"/>
      <c r="Q515" s="32">
        <v>0.65</v>
      </c>
      <c r="R515" s="28" t="s">
        <v>694</v>
      </c>
    </row>
    <row r="516" spans="2:18" x14ac:dyDescent="0.35">
      <c r="D516" s="15" t="s">
        <v>649</v>
      </c>
      <c r="E516" s="17"/>
      <c r="G516" s="9"/>
      <c r="H516" s="9"/>
      <c r="I516" s="9"/>
      <c r="J516" s="9"/>
      <c r="K516" s="9"/>
      <c r="L516" s="9"/>
      <c r="N516" s="51"/>
      <c r="O516" s="38"/>
      <c r="P516" s="52"/>
      <c r="Q516" s="32">
        <v>0.65</v>
      </c>
      <c r="R516" s="28" t="s">
        <v>694</v>
      </c>
    </row>
    <row r="517" spans="2:18" x14ac:dyDescent="0.35">
      <c r="B517"/>
      <c r="E517" s="17"/>
      <c r="G517" s="9"/>
      <c r="H517" s="9"/>
      <c r="I517" s="9"/>
      <c r="J517" s="9"/>
      <c r="K517" s="9"/>
      <c r="L517" s="9"/>
      <c r="N517" s="51"/>
      <c r="O517" s="38"/>
      <c r="P517" s="52"/>
      <c r="Q517" s="23"/>
    </row>
    <row r="518" spans="2:18" x14ac:dyDescent="0.35">
      <c r="B518"/>
      <c r="C518" s="15" t="s">
        <v>653</v>
      </c>
      <c r="D518" s="15" t="s">
        <v>657</v>
      </c>
      <c r="E518" s="17"/>
      <c r="F518" s="18" t="s">
        <v>638</v>
      </c>
      <c r="G518" s="9"/>
      <c r="H518" s="9"/>
      <c r="I518" s="9"/>
      <c r="J518" s="9"/>
      <c r="K518" s="9"/>
      <c r="L518" s="9"/>
      <c r="N518" s="51"/>
      <c r="O518" s="38"/>
      <c r="P518" s="52"/>
      <c r="Q518" s="32">
        <v>0.4</v>
      </c>
      <c r="R518" s="28" t="s">
        <v>693</v>
      </c>
    </row>
    <row r="519" spans="2:18" x14ac:dyDescent="0.35">
      <c r="B519"/>
      <c r="D519" s="15" t="s">
        <v>659</v>
      </c>
      <c r="E519" s="17"/>
      <c r="G519" s="9"/>
      <c r="H519" s="9"/>
      <c r="I519" s="9"/>
      <c r="J519" s="9"/>
      <c r="K519" s="9"/>
      <c r="L519" s="9"/>
      <c r="N519" s="51"/>
      <c r="O519" s="38"/>
      <c r="P519" s="52"/>
      <c r="Q519" s="32">
        <v>0.4</v>
      </c>
      <c r="R519" s="28" t="s">
        <v>693</v>
      </c>
    </row>
    <row r="520" spans="2:18" x14ac:dyDescent="0.35">
      <c r="B520"/>
      <c r="D520" s="15" t="s">
        <v>661</v>
      </c>
      <c r="E520" s="17"/>
      <c r="G520" s="9"/>
      <c r="H520" s="9"/>
      <c r="I520" s="9"/>
      <c r="J520" s="9"/>
      <c r="K520" s="9"/>
      <c r="L520" s="9"/>
      <c r="N520" s="51"/>
      <c r="O520" s="38"/>
      <c r="P520" s="52"/>
      <c r="Q520" s="32">
        <v>0.4</v>
      </c>
      <c r="R520" s="28" t="s">
        <v>693</v>
      </c>
    </row>
    <row r="521" spans="2:18" x14ac:dyDescent="0.35">
      <c r="B521"/>
      <c r="E521" s="17"/>
      <c r="G521" s="9"/>
      <c r="H521" s="9"/>
      <c r="I521" s="9"/>
      <c r="J521" s="9"/>
      <c r="K521" s="9"/>
      <c r="L521" s="9"/>
      <c r="N521" s="51"/>
      <c r="O521" s="38"/>
      <c r="P521" s="52"/>
      <c r="Q521" s="23"/>
    </row>
    <row r="522" spans="2:18" x14ac:dyDescent="0.35">
      <c r="B522"/>
      <c r="D522" s="15" t="s">
        <v>654</v>
      </c>
      <c r="E522" s="27" t="s">
        <v>7</v>
      </c>
      <c r="F522" s="27" t="s">
        <v>158</v>
      </c>
      <c r="G522" s="28" t="s">
        <v>151</v>
      </c>
      <c r="H522" s="28" t="s">
        <v>151</v>
      </c>
      <c r="I522" s="28" t="s">
        <v>139</v>
      </c>
      <c r="J522" s="28"/>
      <c r="K522" s="28" t="s">
        <v>674</v>
      </c>
      <c r="L522" s="28" t="s">
        <v>654</v>
      </c>
      <c r="M522" s="28"/>
      <c r="N522" s="53"/>
      <c r="O522" s="54"/>
      <c r="P522" s="55"/>
      <c r="Q522" s="32">
        <v>0.4</v>
      </c>
      <c r="R522" s="28" t="s">
        <v>693</v>
      </c>
    </row>
    <row r="523" spans="2:18" x14ac:dyDescent="0.35">
      <c r="B523"/>
      <c r="E523" s="27"/>
      <c r="F523" s="27" t="s">
        <v>158</v>
      </c>
      <c r="G523" s="28" t="s">
        <v>151</v>
      </c>
      <c r="H523" s="28" t="s">
        <v>151</v>
      </c>
      <c r="I523" s="28" t="s">
        <v>635</v>
      </c>
      <c r="J523" s="28"/>
      <c r="K523" s="28" t="s">
        <v>675</v>
      </c>
      <c r="L523" s="28" t="s">
        <v>654</v>
      </c>
      <c r="M523" s="28"/>
      <c r="N523" s="53"/>
      <c r="O523" s="54"/>
      <c r="P523" s="55"/>
      <c r="Q523" s="32">
        <v>0.4</v>
      </c>
      <c r="R523" s="28" t="s">
        <v>693</v>
      </c>
    </row>
    <row r="524" spans="2:18" x14ac:dyDescent="0.35">
      <c r="B524"/>
      <c r="E524" s="27"/>
      <c r="F524" s="27" t="s">
        <v>159</v>
      </c>
      <c r="G524" s="28" t="s">
        <v>151</v>
      </c>
      <c r="H524" s="28" t="s">
        <v>151</v>
      </c>
      <c r="I524" s="28" t="s">
        <v>676</v>
      </c>
      <c r="J524" s="28"/>
      <c r="K524" s="28" t="s">
        <v>677</v>
      </c>
      <c r="L524" s="28" t="s">
        <v>654</v>
      </c>
      <c r="M524" s="28"/>
      <c r="N524" s="53"/>
      <c r="O524" s="54"/>
      <c r="P524" s="55"/>
      <c r="Q524" s="32">
        <v>0.4</v>
      </c>
      <c r="R524" s="28" t="s">
        <v>693</v>
      </c>
    </row>
    <row r="525" spans="2:18" x14ac:dyDescent="0.35">
      <c r="B525"/>
      <c r="E525" s="27"/>
      <c r="F525" s="27"/>
      <c r="G525" s="28"/>
      <c r="H525" s="28"/>
      <c r="I525" s="28"/>
      <c r="J525" s="28"/>
      <c r="K525" s="28"/>
      <c r="L525" s="28"/>
      <c r="M525" s="28"/>
      <c r="N525" s="59"/>
      <c r="O525" s="60"/>
      <c r="P525" s="61"/>
      <c r="Q525" s="32"/>
    </row>
    <row r="526" spans="2:18" x14ac:dyDescent="0.35">
      <c r="B526"/>
      <c r="E526" s="17" t="s">
        <v>5</v>
      </c>
      <c r="F526" s="17" t="s">
        <v>156</v>
      </c>
      <c r="G526" s="9" t="s">
        <v>151</v>
      </c>
      <c r="H526" s="9" t="s">
        <v>619</v>
      </c>
      <c r="I526" s="9" t="s">
        <v>190</v>
      </c>
      <c r="J526" s="9"/>
      <c r="K526" s="9" t="s">
        <v>679</v>
      </c>
      <c r="L526" s="9" t="s">
        <v>680</v>
      </c>
      <c r="N526" s="51"/>
      <c r="O526" s="38"/>
      <c r="P526" s="52"/>
      <c r="Q526" s="23">
        <v>0.4</v>
      </c>
      <c r="R526" s="9" t="s">
        <v>693</v>
      </c>
    </row>
    <row r="527" spans="2:18" x14ac:dyDescent="0.35">
      <c r="B527"/>
      <c r="N527" s="51"/>
      <c r="O527" s="38"/>
      <c r="P527" s="52"/>
    </row>
    <row r="528" spans="2:18" x14ac:dyDescent="0.35">
      <c r="B528"/>
      <c r="E528" s="24" t="s">
        <v>163</v>
      </c>
      <c r="F528" s="24" t="s">
        <v>681</v>
      </c>
      <c r="G528" s="25" t="s">
        <v>151</v>
      </c>
      <c r="H528" s="25" t="s">
        <v>151</v>
      </c>
      <c r="I528" s="25" t="s">
        <v>682</v>
      </c>
      <c r="J528" s="25" t="s">
        <v>358</v>
      </c>
      <c r="K528" s="25" t="s">
        <v>684</v>
      </c>
      <c r="L528" s="9" t="s">
        <v>654</v>
      </c>
      <c r="M528" s="9"/>
      <c r="N528" s="45"/>
      <c r="O528" s="46"/>
      <c r="P528" s="47"/>
      <c r="Q528" s="26">
        <v>0.1</v>
      </c>
      <c r="R528" s="25" t="s">
        <v>693</v>
      </c>
    </row>
    <row r="529" spans="2:18" x14ac:dyDescent="0.35">
      <c r="B529"/>
      <c r="E529" s="17"/>
      <c r="F529" s="24" t="s">
        <v>685</v>
      </c>
      <c r="G529" s="25" t="s">
        <v>151</v>
      </c>
      <c r="H529" s="25" t="s">
        <v>151</v>
      </c>
      <c r="I529" s="25" t="s">
        <v>683</v>
      </c>
      <c r="J529" s="25"/>
      <c r="K529" s="25" t="s">
        <v>686</v>
      </c>
      <c r="L529" s="25" t="s">
        <v>687</v>
      </c>
      <c r="M529" s="9"/>
      <c r="N529" s="45"/>
      <c r="O529" s="46"/>
      <c r="P529" s="47"/>
      <c r="Q529" s="26">
        <v>0.4</v>
      </c>
      <c r="R529" s="25" t="s">
        <v>693</v>
      </c>
    </row>
    <row r="530" spans="2:18" x14ac:dyDescent="0.35">
      <c r="B530"/>
      <c r="E530" s="17"/>
      <c r="F530" s="17"/>
      <c r="G530" s="9"/>
      <c r="H530" s="9"/>
      <c r="I530" s="9"/>
      <c r="J530" s="9"/>
      <c r="K530" s="9"/>
      <c r="L530" s="9"/>
      <c r="M530" s="9"/>
      <c r="N530" s="45"/>
      <c r="O530" s="46"/>
      <c r="P530" s="47"/>
      <c r="Q530" s="23"/>
      <c r="R530" s="9"/>
    </row>
    <row r="531" spans="2:18" x14ac:dyDescent="0.35">
      <c r="B531"/>
      <c r="D531" s="15" t="s">
        <v>655</v>
      </c>
      <c r="E531" s="17"/>
      <c r="F531" s="18" t="s">
        <v>688</v>
      </c>
      <c r="G531" s="9"/>
      <c r="H531" s="9"/>
      <c r="I531" s="9"/>
      <c r="J531" s="9"/>
      <c r="K531" s="9"/>
      <c r="L531" s="9"/>
      <c r="M531" s="9"/>
      <c r="N531" s="45"/>
      <c r="O531" s="46"/>
      <c r="P531" s="47"/>
      <c r="Q531" s="32">
        <v>0.4</v>
      </c>
      <c r="R531" s="28" t="s">
        <v>693</v>
      </c>
    </row>
    <row r="532" spans="2:18" x14ac:dyDescent="0.35">
      <c r="B532"/>
      <c r="D532" s="15" t="s">
        <v>656</v>
      </c>
      <c r="E532" s="17"/>
      <c r="F532" s="17"/>
      <c r="G532" s="9"/>
      <c r="H532" s="9"/>
      <c r="I532" s="9"/>
      <c r="J532" s="9"/>
      <c r="K532" s="9"/>
      <c r="L532" s="9"/>
      <c r="M532" s="9"/>
      <c r="N532" s="45"/>
      <c r="O532" s="46"/>
      <c r="P532" s="47"/>
      <c r="Q532" s="32">
        <v>0.4</v>
      </c>
      <c r="R532" s="28" t="s">
        <v>693</v>
      </c>
    </row>
    <row r="533" spans="2:18" x14ac:dyDescent="0.35">
      <c r="D533" s="15" t="s">
        <v>658</v>
      </c>
      <c r="E533" s="17"/>
      <c r="F533" s="17"/>
      <c r="G533" s="9"/>
      <c r="H533" s="9"/>
      <c r="I533" s="9"/>
      <c r="J533" s="9"/>
      <c r="K533" s="9"/>
      <c r="L533" s="9"/>
      <c r="M533" s="9"/>
      <c r="N533" s="45"/>
      <c r="O533" s="46"/>
      <c r="P533" s="47"/>
      <c r="Q533" s="32">
        <v>0.4</v>
      </c>
      <c r="R533" s="28" t="s">
        <v>693</v>
      </c>
    </row>
    <row r="534" spans="2:18" x14ac:dyDescent="0.35">
      <c r="D534" s="15" t="s">
        <v>660</v>
      </c>
      <c r="E534" s="17"/>
      <c r="F534" s="17"/>
      <c r="G534" s="9"/>
      <c r="H534" s="9"/>
      <c r="I534" s="9"/>
      <c r="J534" s="9"/>
      <c r="K534" s="9"/>
      <c r="L534" s="9"/>
      <c r="M534" s="9"/>
      <c r="N534" s="45"/>
      <c r="O534" s="46"/>
      <c r="P534" s="47"/>
      <c r="Q534" s="32">
        <v>0.4</v>
      </c>
      <c r="R534" s="28" t="s">
        <v>693</v>
      </c>
    </row>
    <row r="535" spans="2:18" x14ac:dyDescent="0.35">
      <c r="E535" s="17"/>
      <c r="F535" s="17"/>
      <c r="G535" s="9"/>
      <c r="H535" s="9"/>
      <c r="I535" s="9"/>
      <c r="J535" s="9"/>
      <c r="K535" s="9"/>
      <c r="L535" s="9"/>
      <c r="M535" s="9"/>
      <c r="N535" s="45"/>
      <c r="O535" s="46"/>
      <c r="P535" s="47"/>
      <c r="Q535" s="23"/>
    </row>
    <row r="536" spans="2:18" x14ac:dyDescent="0.35">
      <c r="E536" s="17"/>
      <c r="F536" s="17"/>
      <c r="G536" s="9"/>
      <c r="H536" s="9"/>
      <c r="I536" s="9"/>
      <c r="J536" s="9"/>
      <c r="K536" s="9"/>
      <c r="L536" s="9"/>
      <c r="M536" s="9"/>
      <c r="N536" s="45"/>
      <c r="O536" s="46"/>
      <c r="P536" s="47"/>
      <c r="Q536" s="23"/>
    </row>
    <row r="537" spans="2:18" x14ac:dyDescent="0.35">
      <c r="B537" s="14" t="s">
        <v>652</v>
      </c>
      <c r="E537" s="17"/>
      <c r="F537" s="17"/>
      <c r="G537" s="9"/>
      <c r="H537" s="9"/>
      <c r="I537" s="9"/>
      <c r="J537" s="9"/>
      <c r="K537" s="9"/>
      <c r="L537" s="9"/>
      <c r="M537" s="9"/>
      <c r="N537" s="45"/>
      <c r="O537" s="46"/>
      <c r="P537" s="47"/>
      <c r="Q537" s="23"/>
    </row>
    <row r="538" spans="2:18" x14ac:dyDescent="0.35">
      <c r="C538" s="15" t="s">
        <v>639</v>
      </c>
      <c r="D538" s="15" t="s">
        <v>662</v>
      </c>
      <c r="E538" s="17"/>
      <c r="F538" s="18" t="s">
        <v>638</v>
      </c>
      <c r="M538" s="9"/>
      <c r="N538" s="45"/>
      <c r="O538" s="46"/>
      <c r="P538" s="47"/>
      <c r="Q538" s="32">
        <v>0.7</v>
      </c>
      <c r="R538" s="28" t="s">
        <v>692</v>
      </c>
    </row>
    <row r="539" spans="2:18" x14ac:dyDescent="0.35">
      <c r="D539" s="15" t="s">
        <v>663</v>
      </c>
      <c r="E539" s="24"/>
      <c r="F539" s="24"/>
      <c r="G539" s="25"/>
      <c r="H539" s="25"/>
      <c r="I539" s="25"/>
      <c r="J539" s="25"/>
      <c r="K539" s="25"/>
      <c r="L539" s="25"/>
      <c r="M539" s="25"/>
      <c r="N539" s="48"/>
      <c r="O539" s="46"/>
      <c r="P539" s="47"/>
      <c r="Q539" s="32">
        <v>0.7</v>
      </c>
      <c r="R539" s="28" t="s">
        <v>692</v>
      </c>
    </row>
    <row r="540" spans="2:18" x14ac:dyDescent="0.35">
      <c r="D540" s="15" t="s">
        <v>664</v>
      </c>
      <c r="E540" s="24"/>
      <c r="F540" s="24"/>
      <c r="G540" s="25"/>
      <c r="H540" s="25"/>
      <c r="I540" s="25"/>
      <c r="J540" s="25"/>
      <c r="K540" s="25"/>
      <c r="L540" s="25"/>
      <c r="M540" s="25"/>
      <c r="N540" s="48"/>
      <c r="O540" s="46"/>
      <c r="P540" s="47"/>
      <c r="Q540" s="32">
        <v>0.7</v>
      </c>
      <c r="R540" s="28" t="s">
        <v>692</v>
      </c>
    </row>
    <row r="541" spans="2:18" x14ac:dyDescent="0.35">
      <c r="D541" s="15" t="s">
        <v>665</v>
      </c>
      <c r="E541" s="24"/>
      <c r="F541" s="24"/>
      <c r="G541" s="25"/>
      <c r="H541" s="25"/>
      <c r="I541" s="25"/>
      <c r="J541" s="25"/>
      <c r="K541" s="25"/>
      <c r="L541" s="25"/>
      <c r="M541" s="25"/>
      <c r="N541" s="48"/>
      <c r="O541" s="38"/>
      <c r="P541" s="52"/>
      <c r="Q541" s="32">
        <v>0.7</v>
      </c>
      <c r="R541" s="28" t="s">
        <v>692</v>
      </c>
    </row>
    <row r="542" spans="2:18" x14ac:dyDescent="0.35">
      <c r="D542" s="15" t="s">
        <v>666</v>
      </c>
      <c r="F542" s="24"/>
      <c r="G542" s="25"/>
      <c r="H542" s="25"/>
      <c r="I542" s="25"/>
      <c r="J542" s="25"/>
      <c r="K542" s="25"/>
      <c r="L542" s="25"/>
      <c r="M542" s="25"/>
      <c r="N542" s="48"/>
      <c r="O542" s="38"/>
      <c r="P542" s="52"/>
      <c r="Q542" s="32">
        <v>0.7</v>
      </c>
      <c r="R542" s="28" t="s">
        <v>692</v>
      </c>
    </row>
    <row r="543" spans="2:18" x14ac:dyDescent="0.35">
      <c r="D543" s="15" t="s">
        <v>667</v>
      </c>
      <c r="E543" s="17"/>
      <c r="F543" s="17"/>
      <c r="G543" s="9"/>
      <c r="H543" s="9"/>
      <c r="I543" s="9"/>
      <c r="J543" s="9"/>
      <c r="K543" s="9"/>
      <c r="L543" s="9"/>
      <c r="N543" s="51"/>
      <c r="O543" s="38"/>
      <c r="P543" s="52"/>
      <c r="Q543" s="32">
        <v>0.7</v>
      </c>
      <c r="R543" s="28" t="s">
        <v>692</v>
      </c>
    </row>
    <row r="544" spans="2:18" x14ac:dyDescent="0.35">
      <c r="D544" s="15" t="s">
        <v>668</v>
      </c>
      <c r="E544" s="17"/>
      <c r="F544" s="17"/>
      <c r="G544" s="9"/>
      <c r="H544" s="9"/>
      <c r="I544" s="9"/>
      <c r="J544" s="9"/>
      <c r="K544" s="9"/>
      <c r="L544" s="9"/>
      <c r="N544" s="51"/>
      <c r="O544" s="38"/>
      <c r="P544" s="52"/>
      <c r="Q544" s="32">
        <v>0.7</v>
      </c>
      <c r="R544" s="28" t="s">
        <v>692</v>
      </c>
    </row>
    <row r="545" spans="2:18" x14ac:dyDescent="0.35">
      <c r="D545" s="15" t="s">
        <v>669</v>
      </c>
      <c r="E545" s="17"/>
      <c r="F545" s="17"/>
      <c r="G545" s="9"/>
      <c r="H545" s="9"/>
      <c r="I545" s="9"/>
      <c r="J545" s="9"/>
      <c r="K545" s="9"/>
      <c r="L545" s="9"/>
      <c r="N545" s="51"/>
      <c r="O545" s="38"/>
      <c r="P545" s="52"/>
      <c r="Q545" s="32">
        <v>0.7</v>
      </c>
      <c r="R545" s="28" t="s">
        <v>692</v>
      </c>
    </row>
    <row r="546" spans="2:18" x14ac:dyDescent="0.35">
      <c r="D546" s="15" t="s">
        <v>670</v>
      </c>
      <c r="N546" s="51"/>
      <c r="O546" s="38"/>
      <c r="P546" s="52"/>
      <c r="Q546" s="32">
        <v>0.7</v>
      </c>
      <c r="R546" s="28" t="s">
        <v>692</v>
      </c>
    </row>
    <row r="547" spans="2:18" x14ac:dyDescent="0.35">
      <c r="N547" s="51"/>
      <c r="O547" s="38"/>
      <c r="P547" s="52"/>
    </row>
    <row r="548" spans="2:18" x14ac:dyDescent="0.35">
      <c r="C548" s="15" t="s">
        <v>640</v>
      </c>
      <c r="D548" s="15" t="s">
        <v>671</v>
      </c>
      <c r="F548" s="18" t="s">
        <v>638</v>
      </c>
      <c r="G548" s="9"/>
      <c r="H548" s="9"/>
      <c r="I548" s="9"/>
      <c r="J548" s="9"/>
      <c r="K548" s="9"/>
      <c r="M548" s="9"/>
      <c r="N548" s="45"/>
      <c r="O548" s="46"/>
      <c r="P548" s="47"/>
      <c r="Q548" s="32">
        <v>0.7</v>
      </c>
      <c r="R548" s="28" t="s">
        <v>692</v>
      </c>
    </row>
    <row r="549" spans="2:18" x14ac:dyDescent="0.35">
      <c r="D549" s="15" t="s">
        <v>672</v>
      </c>
      <c r="N549" s="51"/>
      <c r="O549" s="38"/>
      <c r="P549" s="52"/>
      <c r="Q549" s="32">
        <v>0.7</v>
      </c>
      <c r="R549" s="28" t="s">
        <v>692</v>
      </c>
    </row>
    <row r="550" spans="2:18" x14ac:dyDescent="0.35">
      <c r="D550" s="15" t="s">
        <v>673</v>
      </c>
      <c r="N550" s="51"/>
      <c r="O550" s="38"/>
      <c r="P550" s="52"/>
      <c r="Q550" s="32">
        <v>0.7</v>
      </c>
      <c r="R550" s="28" t="s">
        <v>692</v>
      </c>
    </row>
    <row r="551" spans="2:18" x14ac:dyDescent="0.35">
      <c r="N551" s="51"/>
      <c r="O551" s="38"/>
      <c r="P551" s="52"/>
    </row>
    <row r="552" spans="2:18" x14ac:dyDescent="0.35">
      <c r="N552" s="51"/>
      <c r="O552" s="38"/>
      <c r="P552" s="52"/>
    </row>
    <row r="553" spans="2:18" x14ac:dyDescent="0.35">
      <c r="B553" s="14" t="s">
        <v>122</v>
      </c>
      <c r="N553" s="51"/>
      <c r="O553" s="38"/>
      <c r="P553" s="52"/>
    </row>
    <row r="554" spans="2:18" x14ac:dyDescent="0.35">
      <c r="C554" s="15" t="s">
        <v>123</v>
      </c>
      <c r="E554" s="17"/>
      <c r="F554" s="17"/>
      <c r="G554" s="9"/>
      <c r="H554" s="9"/>
      <c r="I554" s="9"/>
      <c r="J554" s="9"/>
      <c r="K554" s="9"/>
      <c r="L554" s="9"/>
      <c r="M554" s="9"/>
      <c r="N554" s="45"/>
      <c r="O554" s="46"/>
      <c r="P554" s="47"/>
      <c r="Q554" s="23"/>
    </row>
    <row r="555" spans="2:18" x14ac:dyDescent="0.35">
      <c r="C555" s="15" t="s">
        <v>124</v>
      </c>
      <c r="N555" s="51"/>
      <c r="O555" s="38"/>
      <c r="P555" s="52"/>
      <c r="Q555" s="32">
        <v>0</v>
      </c>
    </row>
    <row r="556" spans="2:18" x14ac:dyDescent="0.35">
      <c r="N556" s="51"/>
      <c r="O556" s="38"/>
      <c r="P556" s="52"/>
      <c r="Q556" s="32">
        <v>0</v>
      </c>
    </row>
    <row r="557" spans="2:18" x14ac:dyDescent="0.35">
      <c r="N557" s="51"/>
      <c r="O557" s="38"/>
      <c r="P557" s="52"/>
    </row>
    <row r="558" spans="2:18" x14ac:dyDescent="0.35">
      <c r="B558" s="14" t="s">
        <v>785</v>
      </c>
      <c r="N558" s="51"/>
      <c r="O558" s="38"/>
      <c r="P558" s="52"/>
    </row>
    <row r="559" spans="2:18" x14ac:dyDescent="0.35">
      <c r="C559" s="15" t="s">
        <v>786</v>
      </c>
      <c r="H559" s="6" t="s">
        <v>791</v>
      </c>
      <c r="N559" s="45">
        <v>146</v>
      </c>
      <c r="O559" s="46">
        <v>4010</v>
      </c>
      <c r="P559" s="47">
        <v>30</v>
      </c>
      <c r="Q559" s="23">
        <v>0.1</v>
      </c>
    </row>
    <row r="560" spans="2:18" x14ac:dyDescent="0.35">
      <c r="C560" s="15" t="s">
        <v>787</v>
      </c>
      <c r="H560" s="6" t="s">
        <v>792</v>
      </c>
      <c r="N560" s="45">
        <f t="shared" ref="N560:N561" si="1">80*0.235</f>
        <v>18.799999999999997</v>
      </c>
      <c r="O560" s="46">
        <f t="shared" ref="O560:O561" si="2">18.9*239</f>
        <v>4517.0999999999995</v>
      </c>
      <c r="P560" s="47">
        <f t="shared" ref="P560:P561" si="3">26*0.235</f>
        <v>6.1099999999999994</v>
      </c>
      <c r="Q560" s="23">
        <v>0.1</v>
      </c>
    </row>
    <row r="561" spans="2:17" x14ac:dyDescent="0.35">
      <c r="C561" s="15" t="s">
        <v>788</v>
      </c>
      <c r="H561" s="6" t="s">
        <v>792</v>
      </c>
      <c r="N561" s="45">
        <f t="shared" si="1"/>
        <v>18.799999999999997</v>
      </c>
      <c r="O561" s="46">
        <f t="shared" si="2"/>
        <v>4517.0999999999995</v>
      </c>
      <c r="P561" s="47">
        <f t="shared" si="3"/>
        <v>6.1099999999999994</v>
      </c>
      <c r="Q561" s="23">
        <v>0.1</v>
      </c>
    </row>
    <row r="562" spans="2:17" x14ac:dyDescent="0.35">
      <c r="C562" s="15" t="s">
        <v>789</v>
      </c>
      <c r="H562" t="s">
        <v>6</v>
      </c>
      <c r="N562" s="45">
        <v>146</v>
      </c>
      <c r="O562" s="46">
        <v>4010</v>
      </c>
      <c r="P562" s="47">
        <v>30</v>
      </c>
      <c r="Q562" s="23">
        <v>0.1</v>
      </c>
    </row>
    <row r="563" spans="2:17" x14ac:dyDescent="0.35">
      <c r="C563" s="15" t="s">
        <v>790</v>
      </c>
      <c r="H563" t="s">
        <v>821</v>
      </c>
      <c r="N563" s="45">
        <f>80*0.235</f>
        <v>18.799999999999997</v>
      </c>
      <c r="O563" s="46">
        <f>18.9*239</f>
        <v>4517.0999999999995</v>
      </c>
      <c r="P563" s="47">
        <f>26*0.235</f>
        <v>6.1099999999999994</v>
      </c>
      <c r="Q563" s="23">
        <v>0.1</v>
      </c>
    </row>
    <row r="566" spans="2:17" x14ac:dyDescent="0.35">
      <c r="B566" s="14" t="s">
        <v>691</v>
      </c>
      <c r="N566" s="51"/>
      <c r="O566" s="38"/>
      <c r="P566" s="52"/>
    </row>
    <row r="567" spans="2:17" x14ac:dyDescent="0.35">
      <c r="C567" s="15" t="s">
        <v>793</v>
      </c>
      <c r="N567" s="51"/>
      <c r="O567" s="38"/>
      <c r="P567" s="52"/>
      <c r="Q567" s="32">
        <v>1</v>
      </c>
    </row>
    <row r="568" spans="2:17" x14ac:dyDescent="0.35">
      <c r="C568" s="15" t="s">
        <v>794</v>
      </c>
      <c r="N568" s="51"/>
      <c r="O568" s="38"/>
      <c r="P568" s="52"/>
      <c r="Q568" s="32">
        <v>1.08</v>
      </c>
    </row>
    <row r="569" spans="2:17" x14ac:dyDescent="0.35">
      <c r="C569" s="15" t="s">
        <v>795</v>
      </c>
      <c r="N569" s="51"/>
      <c r="O569" s="38"/>
      <c r="P569" s="52"/>
      <c r="Q569" s="32">
        <v>1.17</v>
      </c>
    </row>
    <row r="570" spans="2:17" x14ac:dyDescent="0.35">
      <c r="C570" s="15" t="s">
        <v>796</v>
      </c>
      <c r="Q570" s="32">
        <v>1.1200000000000001</v>
      </c>
    </row>
    <row r="571" spans="2:17" x14ac:dyDescent="0.35">
      <c r="C571" s="15" t="s">
        <v>797</v>
      </c>
      <c r="Q571" s="32">
        <v>1.1399999999999999</v>
      </c>
    </row>
    <row r="572" spans="2:17" x14ac:dyDescent="0.35">
      <c r="C572" s="15" t="s">
        <v>798</v>
      </c>
      <c r="Q572" s="32">
        <v>1.01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Home</vt:lpstr>
      <vt:lpstr>Sources</vt:lpstr>
      <vt:lpstr>Feeds Master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Ederer</dc:creator>
  <cp:lastModifiedBy>Peer Ederer</cp:lastModifiedBy>
  <dcterms:created xsi:type="dcterms:W3CDTF">2022-08-07T12:48:53Z</dcterms:created>
  <dcterms:modified xsi:type="dcterms:W3CDTF">2023-01-09T16:18:31Z</dcterms:modified>
</cp:coreProperties>
</file>